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UDL/Gyqj81qK3SuXvUQjzP0R/JT2XJ469gfCIKkW2HzxlF/ZjxTut37gc7SEPH9Jm/n/BQ4fxZJfCUN/vNWlNg==" workbookSaltValue="3QNhD2ZWK5hmN5KhTKQyC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L20" i="2" s="1"/>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R8" i="9"/>
  <c r="S20" i="14" s="1"/>
  <c r="V20" i="14" s="1"/>
  <c r="EP31" i="8"/>
  <c r="AL14" i="16"/>
  <c r="AJ14" i="16"/>
  <c r="EP31" i="19"/>
  <c r="T9" i="11"/>
  <c r="BH16" i="11"/>
  <c r="BF29" i="11"/>
  <c r="S14" i="16"/>
  <c r="P14" i="16"/>
  <c r="F13" i="16"/>
  <c r="Z14" i="17"/>
  <c r="R30" i="17"/>
  <c r="K26" i="2"/>
  <c r="N26" i="2"/>
  <c r="K30" i="2"/>
  <c r="F30" i="17"/>
  <c r="F26" i="17"/>
  <c r="F14" i="7"/>
  <c r="BF22" i="11"/>
  <c r="BM13" i="11"/>
  <c r="BL11" i="11"/>
  <c r="BL21" i="11"/>
  <c r="T18" i="16"/>
  <c r="BG21" i="11"/>
  <c r="BV28" i="16"/>
  <c r="BW13" i="20"/>
  <c r="BU29" i="17"/>
  <c r="BW11" i="20"/>
  <c r="BW28" i="20"/>
  <c r="S11" i="17"/>
  <c r="S25" i="17"/>
  <c r="P16" i="17"/>
  <c r="BH25" i="16"/>
  <c r="BJ10" i="11"/>
  <c r="BF16" i="11"/>
  <c r="BI22" i="11"/>
  <c r="BK22" i="11"/>
  <c r="T14" i="20"/>
  <c r="BB26" i="13"/>
  <c r="X12" i="17"/>
  <c r="X22" i="16"/>
  <c r="AH14" i="16"/>
  <c r="L12" i="2"/>
  <c r="X10" i="21"/>
  <c r="AO14" i="21"/>
  <c r="V10" i="16"/>
  <c r="AP14" i="16"/>
  <c r="V9" i="16"/>
  <c r="T23" i="17"/>
  <c r="T26" i="17" s="1"/>
  <c r="T30" i="17" s="1"/>
  <c r="U26" i="16"/>
  <c r="BE17" i="13"/>
  <c r="E32" i="20"/>
  <c r="M32" i="20"/>
  <c r="AI32" i="20"/>
  <c r="AM32" i="20"/>
  <c r="U10" i="11"/>
  <c r="I32" i="20"/>
  <c r="J32" i="20"/>
  <c r="Q32" i="20"/>
  <c r="AK32" i="20"/>
  <c r="AE32" i="20"/>
  <c r="U12" i="11"/>
  <c r="AU32" i="20"/>
  <c r="AZ32" i="20"/>
  <c r="G14" i="14"/>
  <c r="O18" i="11"/>
  <c r="R32" i="20"/>
  <c r="W32" i="20"/>
  <c r="G26" i="14"/>
  <c r="K32" i="20"/>
  <c r="O17" i="11"/>
  <c r="AJ32" i="20"/>
  <c r="G30" i="14"/>
  <c r="G23" i="14"/>
  <c r="U18" i="11"/>
  <c r="AX32" i="20"/>
  <c r="Y32" i="20"/>
  <c r="L32" i="20"/>
  <c r="AG32" i="20"/>
  <c r="H32" i="20"/>
  <c r="T32" i="21"/>
  <c r="F32" i="20"/>
  <c r="AF32" i="20"/>
  <c r="S32" i="20"/>
  <c r="AQ32" i="21"/>
  <c r="BF16" i="8" l="1"/>
  <c r="F16" i="11"/>
  <c r="AQ16" i="11" s="1"/>
  <c r="F11" i="16"/>
  <c r="BL11" i="16" s="1"/>
  <c r="T31" i="8"/>
  <c r="M23" i="2"/>
  <c r="AL21" i="11"/>
  <c r="L17" i="14"/>
  <c r="X13" i="16"/>
  <c r="U9" i="17"/>
  <c r="U31" i="17" s="1"/>
  <c r="X19" i="16"/>
  <c r="S17" i="17"/>
  <c r="S16" i="17"/>
  <c r="L22" i="2"/>
  <c r="BH22" i="11"/>
  <c r="BL17" i="11"/>
  <c r="BJ17" i="11"/>
  <c r="BL22" i="11"/>
  <c r="Q16" i="17"/>
  <c r="BK20" i="11"/>
  <c r="BF12" i="11"/>
  <c r="AZ11" i="11"/>
  <c r="BV20" i="16"/>
  <c r="BU13" i="17"/>
  <c r="S21" i="17"/>
  <c r="BV11" i="16"/>
  <c r="BV21" i="16"/>
  <c r="BV13" i="16"/>
  <c r="BU25" i="17"/>
  <c r="AP18" i="20"/>
  <c r="BK18" i="11"/>
  <c r="R18" i="20"/>
  <c r="R23" i="20" s="1"/>
  <c r="BG9" i="11"/>
  <c r="BI16" i="11"/>
  <c r="BJ21" i="11"/>
  <c r="BK19" i="11"/>
  <c r="P18" i="17"/>
  <c r="I13" i="14"/>
  <c r="BF16" i="13"/>
  <c r="BG17" i="13"/>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Q25" i="11" s="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V25" i="16"/>
  <c r="L9" i="2"/>
  <c r="AA11" i="16"/>
  <c r="X16" i="16"/>
  <c r="X23" i="16" s="1"/>
  <c r="L18" i="2"/>
  <c r="L17" i="2"/>
  <c r="L16" i="2"/>
  <c r="X21" i="20"/>
  <c r="L28" i="2"/>
  <c r="L10" i="2"/>
  <c r="BI21" i="11"/>
  <c r="BK10"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BH11"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Z32" i="20"/>
  <c r="AL32" i="20"/>
  <c r="AA32" i="20"/>
  <c r="AN32" i="20"/>
  <c r="AD32" i="20"/>
  <c r="AC32" i="20"/>
  <c r="AV32" i="20"/>
  <c r="O10" i="11"/>
  <c r="AP32" i="20"/>
  <c r="U17" i="11"/>
  <c r="W32" i="21"/>
  <c r="AQ32" i="20"/>
  <c r="P32" i="20"/>
  <c r="AB32" i="20"/>
  <c r="N32" i="20"/>
  <c r="AO32" i="20"/>
  <c r="AH32" i="20"/>
  <c r="X32" i="20"/>
  <c r="T32" i="20"/>
  <c r="K16" i="12" l="1"/>
  <c r="K9" i="12"/>
  <c r="I9" i="12"/>
  <c r="K17"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Q17" i="11"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Q32" i="16"/>
  <c r="L32" i="16"/>
  <c r="BS32" i="16"/>
  <c r="AA32" i="17"/>
  <c r="H32" i="12"/>
  <c r="X32" i="17"/>
  <c r="S32" i="16"/>
  <c r="X32" i="21"/>
  <c r="AC32" i="11"/>
  <c r="AG32" i="11"/>
  <c r="N32" i="21"/>
  <c r="K32" i="21"/>
  <c r="L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S32" i="16"/>
  <c r="M32" i="17"/>
  <c r="Z32" i="16"/>
  <c r="V32" i="17"/>
  <c r="AN32" i="17"/>
  <c r="AU32" i="16"/>
  <c r="BC32" i="21"/>
  <c r="L32" i="11"/>
  <c r="O32" i="17"/>
  <c r="AB32" i="21"/>
  <c r="V32" i="11"/>
  <c r="P32" i="11"/>
  <c r="BD32" i="21"/>
  <c r="AS32" i="21"/>
  <c r="AR32" i="17"/>
  <c r="H32" i="16"/>
  <c r="AA32" i="11"/>
  <c r="Y32" i="11"/>
  <c r="AB32" i="16"/>
  <c r="AO32" i="21"/>
  <c r="AM32" i="17"/>
  <c r="AE32" i="21"/>
  <c r="AD32" i="21"/>
  <c r="S32" i="21"/>
  <c r="AW32" i="17"/>
  <c r="AF32" i="17"/>
  <c r="AY32" i="16"/>
  <c r="AF32" i="11"/>
  <c r="AL32" i="17"/>
  <c r="BF32" i="16"/>
  <c r="AS32" i="17"/>
  <c r="X32" i="16"/>
  <c r="AY32" i="21"/>
  <c r="AL32" i="11"/>
  <c r="AK32" i="16"/>
  <c r="I32" i="21"/>
  <c r="U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<sst xmlns="http://schemas.openxmlformats.org/spreadsheetml/2006/main" count="2668" uniqueCount="1192">
  <si>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</si>
  <si>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</si>
  <si>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</si>
  <si>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</si>
  <si>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</si>
  <si>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</si>
  <si>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</si>
  <si>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</si>
  <si>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</si>
  <si>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</si>
  <si>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</si>
  <si>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</si>
  <si>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</si>
  <si>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</si>
  <si>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</si>
  <si>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</si>
  <si>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</si>
  <si>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</si>
  <si>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</si>
  <si>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</si>
  <si>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</si>
  <si>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</si>
  <si>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</si>
  <si>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</si>
  <si>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</si>
  <si>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</si>
  <si>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</si>
  <si>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</si>
  <si>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</si>
  <si>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</si>
  <si>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</si>
  <si>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</si>
  <si>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</si>
  <si>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</si>
  <si>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</si>
  <si>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</si>
  <si>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</si>
  <si>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</si>
  <si>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</si>
  <si>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</si>
  <si>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</si>
  <si>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</si>
  <si>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</si>
  <si>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</si>
  <si>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</si>
  <si>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</si>
  <si>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</si>
  <si>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</si>
  <si>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</si>
  <si>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</si>
  <si>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</si>
  <si>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</si>
  <si>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</si>
  <si>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</si>
  <si>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</si>
  <si>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</si>
  <si>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</si>
  <si>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</si>
  <si>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</si>
  <si>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</si>
  <si>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</si>
  <si>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</si>
  <si>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</si>
  <si>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</si>
  <si>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</si>
  <si>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</si>
  <si>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</si>
  <si>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</si>
  <si>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</si>
  <si>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</si>
  <si>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</si>
  <si>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</si>
  <si>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</si>
  <si>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</si>
  <si>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</si>
  <si>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</si>
  <si>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</si>
  <si>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</si>
  <si>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</si>
  <si>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</si>
  <si>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</si>
  <si>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</si>
  <si>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</si>
  <si>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</si>
  <si>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</si>
  <si>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</si>
  <si>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</si>
  <si>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</si>
  <si>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</si>
  <si>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</si>
  <si>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</si>
  <si>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</si>
  <si>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</si>
  <si>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</si>
  <si>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</si>
  <si>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</si>
  <si>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</si>
  <si>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</si>
  <si>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</si>
  <si>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</si>
  <si>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</si>
  <si>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</si>
  <si>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</si>
  <si>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</si>
  <si>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</si>
  <si>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</si>
  <si>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</si>
  <si>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</si>
  <si>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</si>
  <si>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</si>
  <si>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</si>
  <si>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</si>
  <si>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</si>
  <si>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</si>
  <si>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</si>
  <si>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</si>
  <si>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</si>
  <si>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</si>
  <si>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</si>
  <si>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</si>
  <si>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</si>
  <si>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</si>
  <si>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</si>
  <si>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</si>
  <si>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</si>
  <si>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</si>
  <si>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</si>
  <si>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</si>
  <si>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</si>
  <si>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</si>
  <si>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</si>
  <si>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</si>
  <si>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</si>
  <si>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</si>
  <si>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</si>
  <si>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</si>
  <si>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</si>
  <si>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</si>
  <si>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</si>
  <si>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</si>
  <si>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</si>
  <si>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</si>
  <si>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</si>
  <si>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</si>
  <si>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</si>
  <si>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</si>
  <si>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</si>
  <si>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</si>
  <si>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</si>
  <si>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</si>
  <si>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</si>
  <si>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</si>
  <si>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</si>
  <si>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</si>
  <si>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</si>
  <si>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</si>
  <si>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</si>
  <si>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</si>
  <si>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</si>
  <si>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</si>
  <si>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</si>
  <si>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</si>
  <si>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</si>
  <si>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</si>
  <si>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</si>
  <si>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</si>
  <si>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</si>
  <si>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</si>
  <si>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</si>
  <si>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</si>
  <si>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</si>
  <si>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</si>
  <si>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</si>
  <si>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</si>
  <si>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</si>
  <si>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</si>
  <si>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</si>
  <si>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</si>
  <si>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</si>
  <si>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</si>
  <si>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</si>
  <si>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</si>
  <si>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</si>
  <si>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</si>
  <si>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</si>
  <si>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</si>
  <si>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</si>
  <si>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</si>
  <si>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</si>
  <si>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</si>
  <si>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</si>
  <si>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</si>
  <si>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</si>
  <si>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</si>
  <si>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</si>
  <si>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</si>
  <si>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</si>
  <si>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</si>
  <si>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</si>
  <si>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</si>
  <si>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</si>
  <si>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</si>
  <si>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</si>
  <si>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</si>
  <si>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</si>
  <si>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</si>
  <si>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</si>
  <si>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</si>
  <si>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</si>
  <si>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</si>
  <si>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</si>
  <si>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</si>
  <si>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</si>
  <si>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</si>
  <si>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</si>
  <si>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</si>
  <si>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</si>
  <si>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</si>
  <si>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</si>
  <si>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</si>
  <si>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</si>
  <si>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</si>
  <si>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</si>
  <si>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</si>
  <si>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</si>
  <si>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</si>
  <si>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</si>
  <si>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</si>
  <si>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</si>
  <si>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</si>
  <si>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</si>
  <si>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</si>
  <si>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</si>
  <si>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</si>
  <si>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</si>
  <si>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</si>
  <si>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</si>
  <si>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</si>
  <si>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</si>
  <si>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</si>
  <si>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</si>
  <si>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</si>
  <si>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</si>
  <si>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</si>
  <si>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</si>
  <si>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</si>
  <si>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</si>
  <si>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</si>
  <si>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</si>
  <si>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</si>
  <si>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</si>
  <si>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</si>
  <si>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</si>
  <si>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</si>
  <si>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</si>
  <si>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</si>
  <si>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</si>
  <si>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</si>
  <si>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</si>
  <si>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</si>
  <si>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</si>
  <si>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</si>
  <si>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</si>
  <si>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</si>
  <si>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</si>
  <si>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</si>
  <si>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</si>
  <si>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</si>
  <si>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</si>
  <si>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</si>
  <si>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</si>
  <si>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</si>
  <si>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</si>
  <si>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</si>
  <si>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</si>
  <si>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</si>
  <si>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</si>
  <si>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</si>
  <si>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</si>
  <si>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</si>
  <si>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</si>
  <si>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</si>
  <si>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</si>
  <si>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</si>
  <si>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</si>
  <si>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</si>
  <si>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</si>
  <si>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</si>
  <si>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</si>
  <si>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</si>
  <si>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</si>
  <si>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</si>
  <si>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</si>
  <si>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</si>
  <si>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</si>
  <si>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</si>
  <si>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</si>
  <si>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</si>
  <si>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</si>
  <si>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</si>
  <si>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</si>
  <si>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</si>
  <si>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</si>
  <si>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</si>
  <si>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</si>
  <si>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</si>
  <si>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</si>
  <si>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</si>
  <si>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</si>
  <si>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</si>
  <si>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</si>
  <si>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</si>
  <si>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</si>
  <si>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</si>
  <si>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</si>
  <si>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</si>
  <si>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</si>
  <si>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</si>
  <si>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</si>
  <si>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</si>
  <si>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</si>
  <si>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</si>
  <si>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</si>
  <si>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</si>
  <si>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</si>
  <si>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</si>
  <si>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</si>
  <si>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</si>
  <si>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</si>
  <si>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</si>
  <si>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</si>
  <si>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</si>
  <si>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</si>
  <si>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</si>
  <si>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</si>
  <si>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</si>
  <si>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</si>
  <si>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</si>
  <si>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</si>
  <si>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</si>
  <si>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</si>
  <si>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</si>
  <si>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</si>
  <si>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</si>
  <si>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</si>
  <si>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</si>
  <si>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</si>
  <si>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</si>
  <si>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</si>
  <si>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</si>
  <si>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</si>
  <si>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</si>
  <si>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</si>
  <si>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</si>
  <si>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</si>
  <si>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</si>
  <si>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</si>
  <si>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</si>
  <si>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</si>
  <si>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</si>
  <si>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</si>
  <si>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</si>
  <si>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</si>
  <si>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</si>
  <si>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</si>
  <si>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</si>
  <si>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</si>
  <si>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</si>
  <si>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</si>
  <si>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</si>
  <si>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</si>
  <si>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</si>
  <si>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</si>
  <si>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</si>
  <si>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</si>
  <si>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</si>
  <si>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</si>
  <si>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</si>
  <si>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</si>
  <si>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</si>
  <si>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</si>
  <si>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</si>
  <si>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</si>
  <si>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</si>
  <si>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</si>
  <si>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</si>
  <si>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</si>
  <si>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</si>
  <si>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</si>
  <si>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</si>
  <si>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</si>
  <si>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</si>
  <si>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</si>
  <si>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</si>
  <si>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</si>
  <si>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</si>
  <si>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</si>
  <si>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</si>
  <si>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</si>
  <si>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</si>
  <si>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</si>
  <si>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</si>
  <si>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</si>
  <si>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</si>
  <si>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</si>
  <si>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</si>
  <si>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</si>
  <si>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</si>
  <si>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</si>
  <si>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</si>
  <si>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</si>
  <si>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</si>
  <si>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</si>
  <si>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</si>
  <si>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</si>
  <si>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</si>
  <si>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</si>
  <si>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</si>
  <si>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</si>
  <si>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</si>
  <si>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</si>
  <si>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</si>
  <si>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</si>
  <si>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</si>
  <si>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</si>
  <si>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</si>
  <si>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</si>
  <si>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</si>
  <si>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</si>
  <si>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</si>
  <si>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</si>
  <si>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</si>
  <si>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</si>
  <si>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</si>
  <si>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</si>
  <si>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</si>
  <si>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</si>
  <si>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</si>
  <si>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</si>
  <si>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</si>
  <si>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</si>
  <si>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</si>
  <si>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</si>
  <si>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</si>
  <si>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</si>
  <si>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</si>
  <si>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</si>
  <si>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</si>
  <si>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</si>
  <si>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</si>
  <si>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</si>
  <si>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</si>
  <si>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</si>
  <si>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</si>
  <si>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</si>
  <si>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</si>
  <si>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</si>
  <si>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</si>
  <si>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</si>
  <si>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</si>
  <si>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</si>
  <si>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</si>
  <si>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</si>
  <si>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</si>
  <si>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</si>
  <si>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</si>
  <si>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</si>
  <si>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</si>
  <si>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</si>
  <si>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</si>
  <si>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</si>
  <si>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</si>
  <si>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</si>
  <si>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</si>
  <si>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</si>
  <si>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</si>
  <si>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</si>
  <si>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</si>
  <si>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</si>
  <si>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</si>
  <si>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</si>
  <si>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</si>
  <si>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</si>
  <si>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</si>
  <si>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</si>
  <si>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</si>
  <si>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</si>
  <si>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</si>
  <si>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</si>
  <si>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</si>
  <si>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</si>
  <si>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</si>
  <si>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</si>
  <si>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</si>
  <si>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</si>
  <si>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</si>
  <si>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</si>
  <si>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</si>
  <si>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</si>
  <si>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</si>
  <si>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</si>
  <si>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</si>
  <si>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</si>
  <si>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</si>
  <si>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</si>
  <si>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</si>
  <si>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</si>
  <si>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</si>
  <si>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</si>
  <si>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</si>
  <si>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</si>
  <si>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</si>
  <si>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</si>
  <si>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</si>
  <si>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</si>
  <si>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</si>
  <si>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</si>
  <si>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</si>
  <si>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</si>
  <si>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</si>
  <si>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</si>
  <si>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</si>
  <si>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</si>
  <si>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</si>
  <si>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</si>
  <si>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</si>
  <si>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</si>
  <si>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</si>
  <si>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</si>
  <si>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</si>
  <si>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</si>
  <si>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</si>
  <si>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</si>
  <si>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</si>
  <si>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</si>
  <si>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</si>
  <si>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</si>
  <si>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</si>
  <si>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</si>
  <si>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</si>
  <si>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</si>
  <si>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</si>
  <si>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</si>
  <si>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</si>
  <si>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</si>
  <si>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</si>
  <si>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</si>
  <si>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</si>
  <si>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</si>
  <si>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</si>
  <si>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</si>
  <si>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</si>
  <si>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</si>
  <si>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</si>
  <si>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</si>
  <si>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</si>
  <si>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</si>
  <si>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</si>
  <si>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</si>
  <si>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</si>
  <si>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</si>
  <si>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</si>
  <si>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</si>
  <si>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</si>
  <si>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</si>
  <si>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</si>
  <si>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</si>
  <si>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</si>
  <si>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</si>
  <si>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</si>
  <si>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</si>
  <si>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</si>
  <si>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</si>
  <si>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</si>
  <si>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</si>
  <si>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</si>
  <si>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</si>
  <si>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</si>
  <si>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</si>
  <si>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</si>
  <si>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</si>
  <si>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</si>
  <si>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</si>
  <si>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</si>
  <si>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</si>
  <si>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</si>
  <si>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</si>
  <si>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</si>
  <si>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</si>
  <si>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</si>
  <si>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</si>
  <si>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</si>
  <si>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</si>
  <si>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</si>
  <si>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</si>
  <si>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</si>
  <si>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</si>
  <si>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</si>
  <si>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</si>
  <si>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</si>
  <si>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</si>
  <si>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</si>
  <si>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</si>
  <si>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</si>
  <si>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</si>
  <si>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</si>
  <si>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</si>
  <si>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</si>
  <si>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</si>
  <si>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</si>
  <si>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</si>
  <si>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</si>
  <si>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</si>
  <si>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</si>
  <si>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</si>
  <si>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</si>
  <si>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</si>
  <si>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</si>
  <si>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</si>
  <si>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</si>
  <si>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</si>
  <si>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</si>
  <si>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</si>
  <si>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</si>
  <si>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</si>
  <si>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</si>
  <si>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</si>
  <si>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</si>
  <si>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</si>
  <si>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</si>
  <si>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</si>
  <si>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</si>
  <si>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</si>
  <si>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</si>
  <si>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</si>
  <si>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</si>
  <si>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</si>
  <si>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</si>
  <si>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</si>
  <si>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</si>
  <si>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</si>
  <si>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</si>
  <si>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</si>
  <si>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</si>
  <si>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</si>
  <si>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</si>
  <si>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</si>
  <si>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</si>
  <si>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</si>
  <si>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</si>
  <si>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</si>
  <si>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</si>
  <si>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</si>
  <si>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</si>
  <si>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</si>
  <si>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</si>
  <si>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</si>
  <si>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</si>
  <si>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</si>
  <si>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</si>
  <si>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</si>
  <si>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</si>
  <si>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</si>
  <si>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</si>
  <si>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</si>
  <si>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</si>
  <si>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</si>
  <si>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</si>
  <si>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</si>
  <si>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</si>
  <si>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</si>
  <si>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</si>
  <si>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</si>
  <si>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</si>
  <si>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</si>
  <si>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</si>
  <si>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</si>
  <si>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</si>
  <si>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</si>
  <si>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</si>
  <si>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</si>
  <si>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</si>
  <si>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</si>
  <si>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</si>
  <si>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</si>
  <si>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</si>
  <si>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</si>
  <si>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</si>
  <si>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</si>
  <si>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</si>
  <si>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</si>
  <si>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</si>
  <si>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</si>
  <si>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</si>
  <si>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</si>
  <si>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</si>
  <si>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</si>
  <si>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</si>
  <si>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</si>
  <si>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</si>
  <si>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</si>
  <si>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</si>
  <si>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</si>
  <si>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</si>
  <si>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</si>
  <si>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</si>
  <si>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</si>
  <si>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</si>
  <si>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</si>
  <si>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</si>
  <si>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</si>
  <si>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</si>
  <si>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</si>
  <si>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</si>
  <si>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</si>
  <si>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</si>
  <si>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</si>
  <si>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</si>
  <si>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</si>
  <si>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</si>
  <si>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</si>
  <si>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</si>
  <si>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</si>
  <si>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</si>
  <si>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</si>
  <si>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</si>
  <si>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</si>
  <si>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</si>
  <si>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</si>
  <si>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</si>
  <si>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</si>
  <si>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</si>
  <si>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</si>
  <si>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</si>
  <si>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</si>
  <si>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</si>
  <si>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</si>
  <si>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</si>
  <si>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</si>
  <si>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</si>
  <si>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</si>
  <si>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</si>
  <si>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</si>
  <si>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</si>
  <si>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</si>
  <si>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</si>
  <si>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</si>
  <si>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</si>
  <si>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</si>
  <si>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</si>
  <si>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</si>
  <si>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</si>
  <si>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</si>
  <si>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</si>
  <si>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</si>
  <si>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</si>
  <si>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</si>
  <si>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</si>
  <si>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</si>
  <si>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</si>
  <si>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</si>
  <si>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</si>
  <si>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</si>
  <si>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</si>
  <si>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</si>
  <si>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</si>
  <si>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</si>
  <si>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</si>
  <si>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</si>
  <si>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</si>
  <si>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</si>
  <si>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</si>
  <si>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</si>
  <si>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</si>
  <si>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</si>
  <si>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</si>
  <si>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</si>
  <si>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</si>
  <si>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</si>
  <si>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</si>
  <si>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</si>
  <si>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</si>
  <si>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</si>
  <si>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</si>
  <si>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</si>
  <si>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</si>
  <si>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</si>
  <si>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</si>
  <si>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</si>
  <si>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</si>
  <si>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</si>
  <si>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</si>
  <si>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</si>
  <si>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</si>
  <si>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</si>
  <si>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</si>
  <si>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</si>
  <si>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</si>
  <si>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</si>
  <si>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</si>
  <si>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</si>
  <si>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</si>
  <si>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</si>
  <si>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</si>
  <si>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</si>
  <si>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</si>
  <si>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</si>
  <si>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</si>
  <si>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</si>
  <si>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</si>
  <si>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</si>
  <si>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</si>
  <si>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</si>
  <si>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</si>
  <si>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</si>
  <si>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</si>
  <si>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</si>
  <si>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</si>
  <si>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</si>
  <si>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</si>
  <si>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</si>
  <si>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</si>
  <si>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</si>
  <si>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</si>
  <si>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</si>
  <si>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</si>
  <si>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</si>
  <si>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</si>
  <si>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</si>
  <si>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</si>
  <si>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</si>
  <si>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</si>
  <si>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</si>
  <si>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</si>
  <si>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</si>
  <si>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</si>
  <si>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</si>
  <si>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</si>
  <si>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</si>
  <si>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</si>
  <si>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</si>
  <si>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</si>
  <si>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</si>
  <si>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</si>
  <si>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</si>
  <si>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</si>
  <si>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</si>
  <si>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</si>
  <si>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</si>
  <si>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</si>
  <si>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</si>
  <si>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</si>
  <si>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</si>
  <si>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</si>
  <si>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</si>
  <si>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</si>
  <si>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</si>
  <si>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</si>
  <si>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</si>
  <si>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</si>
  <si>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</si>
  <si>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</si>
  <si>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</si>
  <si>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</si>
  <si>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</si>
  <si>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</si>
  <si>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</si>
  <si>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</si>
  <si>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</si>
  <si>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</si>
  <si>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</si>
  <si>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</si>
  <si>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</si>
  <si>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</si>
  <si>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</si>
  <si>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</si>
  <si>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</si>
  <si>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</si>
  <si>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</si>
  <si>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</si>
  <si>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</si>
  <si>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</si>
  <si>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</si>
  <si>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</si>
  <si>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</si>
  <si>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</si>
  <si>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</si>
  <si>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</si>
  <si>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</si>
  <si>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</si>
  <si>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</si>
  <si>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</si>
  <si>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</si>
  <si>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</si>
  <si>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</si>
  <si>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</si>
  <si>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</si>
  <si>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</si>
  <si>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</si>
  <si>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</si>
  <si>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</si>
  <si>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</si>
  <si>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</si>
  <si>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</si>
  <si>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</si>
  <si>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</si>
  <si>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</si>
  <si>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</si>
  <si>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</si>
  <si>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</si>
  <si>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</si>
  <si>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</si>
  <si>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</si>
  <si>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</si>
  <si>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</si>
  <si>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</si>
  <si>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</si>
  <si>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</si>
  <si>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</si>
  <si>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</si>
  <si>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</si>
  <si>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</si>
  <si>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</si>
  <si>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</si>
  <si>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</si>
  <si>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</si>
  <si>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</si>
  <si>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</si>
  <si>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</si>
  <si>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</si>
  <si>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</si>
  <si>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</si>
  <si>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</si>
  <si>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</si>
  <si>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</si>
  <si>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</si>
  <si>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</si>
  <si>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</si>
  <si>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</si>
  <si>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</si>
  <si>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</si>
  <si>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</si>
  <si>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</si>
  <si>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</si>
  <si>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</si>
  <si>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</si>
  <si>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</si>
  <si>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</si>
  <si>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</si>
  <si>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</si>
  <si>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</si>
  <si>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</si>
  <si>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</si>
  <si>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</si>
  <si>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</si>
  <si>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</si>
  <si>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</si>
  <si>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</si>
  <si>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</si>
  <si>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</si>
  <si>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</si>
  <si>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</si>
  <si>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</si>
  <si>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</si>
  <si>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</si>
  <si>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</si>
  <si>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</si>
  <si>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</si>
  <si>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</si>
  <si>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</si>
  <si>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</si>
  <si>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</si>
  <si>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</si>
  <si>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</si>
  <si>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</si>
  <si>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</si>
  <si>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</si>
  <si>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</si>
  <si>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</si>
  <si>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</si>
  <si>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</si>
  <si>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</si>
  <si>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</si>
  <si>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</si>
  <si>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</si>
  <si>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</si>
  <si>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</si>
  <si>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</si>
  <si>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</si>
  <si>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</si>
  <si>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</si>
  <si>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</si>
  <si>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</si>
  <si>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</si>
  <si>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</si>
  <si>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</si>
  <si>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</si>
  <si>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</si>
  <si>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</si>
  <si>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</si>
  <si>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</si>
  <si>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</si>
  <si>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</si>
  <si>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</si>
  <si>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</si>
  <si>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</si>
  <si>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</si>
  <si>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</si>
  <si>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</si>
  <si>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</si>
  <si>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</si>
  <si>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</si>
  <si>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</si>
  <si>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</si>
  <si>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</si>
  <si>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</si>
  <si>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</si>
  <si>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</si>
  <si>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</si>
  <si>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</si>
  <si>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</si>
  <si>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</si>
  <si>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</si>
  <si>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</si>
  <si>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</si>
  <si>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</si>
  <si>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</si>
  <si>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</si>
  <si>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</si>
  <si>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</si>
  <si>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</si>
  <si>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</si>
  <si>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</si>
  <si>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</si>
  <si>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</si>
  <si>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</si>
  <si>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</si>
  <si>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</si>
  <si>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</si>
  <si>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</si>
  <si>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</si>
  <si>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</si>
  <si>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</si>
  <si>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</si>
  <si>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</si>
  <si>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</si>
  <si>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</si>
  <si>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</si>
  <si>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</si>
  <si>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</si>
  <si>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</si>
  <si>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</si>
  <si>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</si>
  <si>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</si>
  <si>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</si>
  <si>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</si>
  <si>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</si>
  <si>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</si>
  <si>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</si>
  <si>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</si>
  <si>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</si>
  <si>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</si>
  <si>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</si>
  <si>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</si>
  <si>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</si>
  <si>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</si>
  <si>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</si>
  <si>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</si>
  <si>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</si>
  <si>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</si>
  <si>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</si>
  <si>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</si>
  <si>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</si>
  <si>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</si>
  <si>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</si>
  <si>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</si>
  <si>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</si>
  <si>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</si>
  <si>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</si>
  <si>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</si>
  <si>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</si>
  <si>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</si>
  <si>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</si>
  <si>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</si>
  <si>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</si>
  <si>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</si>
  <si>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</si>
  <si>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</si>
  <si>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</si>
  <si>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</si>
  <si>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</si>
  <si>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</si>
  <si>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</si>
  <si>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</si>
  <si>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</si>
  <si>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</si>
  <si>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</si>
  <si>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</si>
  <si>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</si>
  <si>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</si>
  <si>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</si>
  <si>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</si>
  <si>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</si>
  <si>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</si>
  <si>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</si>
  <si>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</si>
  <si>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</si>
  <si>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</si>
  <si>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</si>
  <si>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</si>
  <si>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</si>
  <si>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</si>
  <si>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</si>
  <si>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</si>
  <si>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</si>
  <si>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</si>
  <si>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</si>
  <si>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</si>
  <si>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</si>
  <si>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</si>
  <si>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</si>
  <si>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</si>
  <si>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</si>
  <si>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</si>
  <si>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</si>
  <si>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</si>
  <si>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</si>
  <si>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</si>
  <si>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</si>
  <si>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</si>
  <si>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</si>
  <si>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</si>
  <si>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</si>
  <si>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</si>
  <si>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</si>
  <si>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</si>
  <si>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</si>
  <si>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</si>
  <si>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</si>
  <si>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</si>
  <si>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</si>
  <si>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</si>
  <si>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</si>
  <si>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</si>
  <si>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</si>
  <si>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</si>
  <si>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</si>
  <si>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</si>
  <si>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</si>
  <si>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</si>
  <si>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</si>
  <si>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</si>
  <si>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</si>
  <si>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</si>
  <si>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</si>
  <si>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</si>
  <si>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</si>
  <si>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</si>
  <si>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</si>
  <si>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</si>
  <si>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</si>
  <si>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</si>
  <si>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</si>
  <si>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</si>
  <si>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</si>
  <si>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</si>
  <si>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</si>
  <si>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</si>
  <si>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</si>
  <si>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</si>
  <si>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</si>
  <si>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</si>
  <si>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</si>
  <si>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</si>
  <si>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</si>
  <si>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</si>
  <si>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</si>
  <si>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</si>
  <si>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</si>
  <si>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</si>
  <si>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</si>
  <si>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</si>
  <si>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</si>
  <si>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</si>
  <si>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</si>
  <si>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</si>
  <si>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</si>
  <si>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</si>
  <si>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</si>
  <si>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</si>
  <si>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GRANADA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</si>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</sst>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HH+lunmMjQ30IxK4EqKHcl7PSa3xocUHXfQvD3gjhazoWeXhsU40KJ5q3EWC9fmi4cAY+g4DmviaeO2r/ZsHw==" saltValue="2NMfurbFMbTkxgkxjKjT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17.6093916755603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192</v>
      </c>
      <c r="D10" s="239">
        <f>IF(ISNUMBER(Datos!I10),Datos!I10," - ")</f>
        <v>192</v>
      </c>
      <c r="E10" s="240">
        <f>IF(ISNUMBER(Datos!J10),Datos!J10," - ")</f>
        <v>113</v>
      </c>
      <c r="F10" s="240">
        <f>IF(ISNUMBER(Datos!K10),Datos!K10," - ")</f>
        <v>101</v>
      </c>
      <c r="G10" s="1390" t="str">
        <f>IF(Datos!E10&lt;&gt;"",Datos!E10,Datos!D10)</f>
        <v>37</v>
      </c>
      <c r="H10" s="241">
        <f>IF(ISNUMBER(Datos!L10),Datos!L10," - ")</f>
        <v>204</v>
      </c>
      <c r="I10" s="1400" t="str">
        <f>IF(ISNUMBER(Datos!AS10/Datos!BM10),Datos!AS10/Datos!BM10," - ")</f>
        <v xml:space="preserve"> - </v>
      </c>
      <c r="J10" s="1401">
        <f>IF(ISNUMBER(Datos!BY10/Datos!CN10),Datos!BY10/Datos!CN10," - ")</f>
        <v>0</v>
      </c>
      <c r="K10" s="244">
        <f t="shared" ref="K10:K13" si="1">IF(ISNUMBER((E10-F10)/C10),(E10-F10)/C10," - ")</f>
        <v>6.25E-2</v>
      </c>
      <c r="L10" s="1402">
        <f>IF(ISNUMBER(NºAsuntos!I10/NºAsuntos!G10),(NºAsuntos!I10/NºAsuntos!G10)*11," - ")</f>
        <v>22.21782178217822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15.480519480519479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192</v>
      </c>
      <c r="D14" s="1407">
        <f>SUBTOTAL(9,D9:D13)</f>
        <v>192</v>
      </c>
      <c r="E14" s="1408">
        <f>SUBTOTAL(9,E9:E13)</f>
        <v>113</v>
      </c>
      <c r="F14" s="1409">
        <f>SUBTOTAL(9,F9:F13)</f>
        <v>101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9</v>
      </c>
      <c r="B16" s="1461" t="str">
        <f>Datos!A16</f>
        <v xml:space="preserve">Jdos. Instrucción                               </v>
      </c>
      <c r="C16" s="239">
        <f t="shared" ref="C16:C22" si="2">IF(ISNUMBER(H16-E16+F16),H16-E16+F16," - ")</f>
        <v>4106</v>
      </c>
      <c r="D16" s="239">
        <f>IF(ISNUMBER(IF(D_I="SI",Datos!I16,Datos!I16+Datos!AC16)),IF(D_I="SI",Datos!I16,Datos!I16+Datos!AC16)," - ")</f>
        <v>4006</v>
      </c>
      <c r="E16" s="240">
        <f>IF(ISNUMBER(IF(D_I="SI",Datos!J16,Datos!J16+Datos!AD16)),IF(D_I="SI",Datos!J16,Datos!J16+Datos!AD16)," - ")</f>
        <v>9840</v>
      </c>
      <c r="F16" s="240">
        <f>IF(ISNUMBER(IF(D_I="SI",Datos!K16,Datos!K16+Datos!AE16)),IF(D_I="SI",Datos!K16,Datos!K16+Datos!AE16)," - ")</f>
        <v>9713</v>
      </c>
      <c r="G16" s="1390" t="str">
        <f>IF(Datos!E16&lt;&gt;"",Datos!E16,Datos!D16)</f>
        <v>03</v>
      </c>
      <c r="H16" s="241">
        <f>IF(ISNUMBER(IF(D_I="SI",Datos!L16,Datos!L16+Datos!AF16)),IF(D_I="SI",Datos!L16,Datos!L16+Datos!AF16)," - ")</f>
        <v>4233</v>
      </c>
      <c r="I16" s="1400" t="str">
        <f>IF(ISNUMBER(Datos!AS16/Datos!BM16),Datos!AS16/Datos!BM16," - ")</f>
        <v xml:space="preserve"> - </v>
      </c>
      <c r="J16" s="1401">
        <f>IF(ISNUMBER(Datos!BY16/Datos!CN16),Datos!BY16/Datos!CN16," - ")</f>
        <v>0</v>
      </c>
      <c r="K16" s="244">
        <f t="shared" ref="K16:K22" si="3">IF(ISNUMBER((E16-F16)/C16),(E16-F16)/C16," - ")</f>
        <v>3.0930345835362884E-2</v>
      </c>
      <c r="L16" s="1402">
        <f>IF(ISNUMBER(NºAsuntos!I16/NºAsuntos!G16),(NºAsuntos!I16/NºAsuntos!G16)*11," - ")</f>
        <v>4.7938844847112119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262</v>
      </c>
      <c r="D18" s="239">
        <f>IF(ISNUMBER(IF(D_I="SI",Datos!I18,Datos!I18+Datos!AC18)),IF(D_I="SI",Datos!I18,Datos!I18+Datos!AC18)," - ")</f>
        <v>256</v>
      </c>
      <c r="E18" s="240">
        <f>IF(ISNUMBER(IF(D_I="SI",Datos!J18,Datos!J18+Datos!AD18)),IF(D_I="SI",Datos!J18,Datos!J18+Datos!AD18)," - ")</f>
        <v>785</v>
      </c>
      <c r="F18" s="240">
        <f>IF(ISNUMBER(IF(D_I="SI",Datos!K18,Datos!K18+Datos!AE18)),IF(D_I="SI",Datos!K18,Datos!K18+Datos!AE18)," - ")</f>
        <v>762</v>
      </c>
      <c r="G18" s="1390" t="str">
        <f>IF(Datos!E18&lt;&gt;"",Datos!E18,Datos!D18)</f>
        <v>37</v>
      </c>
      <c r="H18" s="241">
        <f>IF(ISNUMBER(IF(D_I="SI",Datos!L18,Datos!L18+Datos!AF18)),IF(D_I="SI",Datos!L18,Datos!L18+Datos!AF18)," - ")</f>
        <v>285</v>
      </c>
      <c r="I18" s="1400" t="str">
        <f>IF(ISNUMBER(Datos!AS18/Datos!BM18),Datos!AS18/Datos!BM18," - ")</f>
        <v xml:space="preserve"> - </v>
      </c>
      <c r="J18" s="1401" t="str">
        <f>IF(ISNUMBER((Datos!BY18+Datos!BZ18)/Datos!CN18),(Datos!BY18+Datos!BZ18)/Datos!CN18," - ")</f>
        <v xml:space="preserve"> - </v>
      </c>
      <c r="K18" s="244">
        <f t="shared" si="3"/>
        <v>8.7786259541984726E-2</v>
      </c>
      <c r="L18" s="1402">
        <f>IF(ISNUMBER(NºAsuntos!I18/NºAsuntos!G18),(NºAsuntos!I18/NºAsuntos!G18)*11," - ")</f>
        <v>4.1141732283464565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4368</v>
      </c>
      <c r="D23" s="1407">
        <f>SUBTOTAL(9,D16:D22)</f>
        <v>4262</v>
      </c>
      <c r="E23" s="1408">
        <f>SUBTOTAL(9,E16:E22)</f>
        <v>10625</v>
      </c>
      <c r="F23" s="1408">
        <f>SUBTOTAL(9,F16:F22)</f>
        <v>10475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4560</v>
      </c>
      <c r="D31" s="1435">
        <f>SUBTOTAL(9,D9:D30)</f>
        <v>4454</v>
      </c>
      <c r="E31" s="1436">
        <f>SUBTOTAL(9,E9:E30)</f>
        <v>10738</v>
      </c>
      <c r="F31" s="1436">
        <f>SUBTOTAL(9,F9:F30)</f>
        <v>10576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w8HCKECAvImQXeQ96MGM08rpR04LKNFuP031a3Ru/9DBohrzuZqCBjc5HUQVMkImbPX4BVBab+m7SXTAr287A==" saltValue="P6bOMahEzaEy4cE9UWN77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McoYdcv3UnIFWCTE0H+RLRN9Amjhxjv4GEBrnz5bbLvZbujbJt2Vg7irdhvVjiHfYPen262HDXFTJInLhF6+A==" saltValue="EoLHykjjqRjwAepEIt4U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11324</v>
      </c>
      <c r="J9" s="194">
        <v>6093</v>
      </c>
      <c r="K9" s="194">
        <v>6791</v>
      </c>
      <c r="L9" s="194">
        <v>11560</v>
      </c>
      <c r="M9" s="194">
        <v>1734</v>
      </c>
      <c r="N9" s="194">
        <v>2950</v>
      </c>
      <c r="O9" s="194">
        <v>3603</v>
      </c>
      <c r="P9" s="194">
        <v>1432</v>
      </c>
      <c r="Q9" s="194">
        <v>3528</v>
      </c>
      <c r="R9" s="194">
        <v>21138</v>
      </c>
      <c r="S9" s="194">
        <v>14733</v>
      </c>
      <c r="T9" s="194">
        <v>6195</v>
      </c>
      <c r="U9" s="194">
        <v>7381</v>
      </c>
      <c r="V9" s="194">
        <v>13547</v>
      </c>
      <c r="W9" s="194">
        <v>1879</v>
      </c>
      <c r="X9" s="201">
        <v>3202</v>
      </c>
      <c r="Y9" s="204">
        <v>476</v>
      </c>
      <c r="Z9" s="194">
        <v>669</v>
      </c>
      <c r="AA9" s="194">
        <v>705</v>
      </c>
      <c r="AB9" s="194">
        <v>440</v>
      </c>
      <c r="AC9" s="194">
        <v>0</v>
      </c>
      <c r="AD9" s="194">
        <v>0</v>
      </c>
      <c r="AE9" s="194">
        <v>0</v>
      </c>
      <c r="AF9" s="201">
        <v>0</v>
      </c>
      <c r="AG9" s="204">
        <v>497</v>
      </c>
      <c r="AH9" s="194">
        <v>822</v>
      </c>
      <c r="AI9" s="194">
        <v>875</v>
      </c>
      <c r="AJ9" s="205">
        <v>444</v>
      </c>
      <c r="AK9" s="193">
        <v>0</v>
      </c>
      <c r="AL9" s="194">
        <v>0</v>
      </c>
      <c r="AM9" s="194">
        <v>0</v>
      </c>
      <c r="AN9" s="201">
        <v>0</v>
      </c>
      <c r="AO9" s="282">
        <v>16</v>
      </c>
      <c r="AP9" s="167">
        <v>16</v>
      </c>
      <c r="AQ9" s="167">
        <v>16</v>
      </c>
      <c r="AR9" s="206">
        <v>16</v>
      </c>
      <c r="AS9" s="379" t="s">
        <v>1072</v>
      </c>
      <c r="AT9" s="208"/>
      <c r="AU9" s="207"/>
      <c r="AV9" s="208"/>
      <c r="AW9" s="207"/>
      <c r="AX9" s="208"/>
      <c r="AY9" s="133">
        <f>IF(ISNUMBER(IF(J_V="SI",S9,S9+AG9)),IF(J_V="SI",S9,S9+AG9)," - ")</f>
        <v>15230</v>
      </c>
      <c r="AZ9" s="133">
        <f>IF(ISNUMBER(IF(J_V="SI",T9,T9+AH9)),IF(J_V="SI",T9,T9+AH9)," - ")</f>
        <v>7017</v>
      </c>
      <c r="BA9" s="134">
        <f>IF(ISNUMBER(IF(J_V="SI",U9,U9+AI9)),IF(J_V="SI",U9,U9+AI9)," - ")</f>
        <v>8256</v>
      </c>
      <c r="BB9" s="134">
        <f>IF(ISNUMBER(IF(J_V="SI",V9,V9+AJ9)),IF(J_V="SI",V9,V9+AJ9)," - ")</f>
        <v>13991</v>
      </c>
      <c r="BC9" s="135">
        <f>IF(ISNUMBER(X9),X9," - ")</f>
        <v>3202</v>
      </c>
      <c r="BD9" s="136">
        <f>IF(ISNUMBER(BA9/AZ9),BA9/AZ9," - ")</f>
        <v>1.1765711842667808</v>
      </c>
      <c r="BE9" s="137">
        <f>IF(ISNUMBER(BB9/BA9),BB9/BA9, " - ")</f>
        <v>1.6946463178294573</v>
      </c>
      <c r="BF9" s="137">
        <f>IF(ISNUMBER(BC9/BA9),BC9/BA9, " - ")</f>
        <v>0.38783914728682173</v>
      </c>
      <c r="BG9" s="209">
        <f>IF(ISNUMBER((AY9+AZ9)/BA9),(AY9+AZ9)/BA9," - ")</f>
        <v>2.6946463178294575</v>
      </c>
      <c r="BH9" s="167">
        <v>16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192</v>
      </c>
      <c r="J10" s="194">
        <v>113</v>
      </c>
      <c r="K10" s="194">
        <v>101</v>
      </c>
      <c r="L10" s="194">
        <v>204</v>
      </c>
      <c r="M10" s="194">
        <v>47</v>
      </c>
      <c r="N10" s="194">
        <v>43</v>
      </c>
      <c r="O10" s="194">
        <v>38</v>
      </c>
      <c r="P10" s="194">
        <v>31</v>
      </c>
      <c r="Q10" s="194">
        <v>30</v>
      </c>
      <c r="R10" s="194">
        <v>197</v>
      </c>
      <c r="S10" s="194">
        <v>180</v>
      </c>
      <c r="T10" s="194">
        <v>130</v>
      </c>
      <c r="U10" s="194">
        <v>134</v>
      </c>
      <c r="V10" s="194">
        <v>176</v>
      </c>
      <c r="W10" s="194">
        <v>53</v>
      </c>
      <c r="X10" s="201">
        <v>61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180</v>
      </c>
      <c r="AZ10" s="139">
        <f t="shared" si="0"/>
        <v>130</v>
      </c>
      <c r="BA10" s="139">
        <f t="shared" si="0"/>
        <v>134</v>
      </c>
      <c r="BB10" s="139">
        <f t="shared" si="0"/>
        <v>176</v>
      </c>
      <c r="BC10" s="135">
        <f t="shared" si="0"/>
        <v>53</v>
      </c>
      <c r="BD10" s="136">
        <f>IF(ISNUMBER(BA10/AZ10),BA10/AZ10," - ")</f>
        <v>1.0307692307692307</v>
      </c>
      <c r="BE10" s="137">
        <f>IF(ISNUMBER(BB10/BA10),BB10/BA10, " - ")</f>
        <v>1.3134328358208955</v>
      </c>
      <c r="BF10" s="137">
        <f>IF(ISNUMBER(BC10/BA10),BC10/BA10, " - ")</f>
        <v>0.39552238805970147</v>
      </c>
      <c r="BG10" s="209">
        <f>IF(ISNUMBER((AY10+AZ10)/BA10),(AY10+AZ10)/BA10," - ")</f>
        <v>2.3134328358208953</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1163</v>
      </c>
      <c r="J11" s="196">
        <v>804</v>
      </c>
      <c r="K11" s="196">
        <v>792</v>
      </c>
      <c r="L11" s="196">
        <v>1175</v>
      </c>
      <c r="M11" s="196">
        <v>373</v>
      </c>
      <c r="N11" s="196">
        <v>256</v>
      </c>
      <c r="O11" s="194">
        <v>302</v>
      </c>
      <c r="P11" s="196">
        <v>125</v>
      </c>
      <c r="Q11" s="196">
        <v>136</v>
      </c>
      <c r="R11" s="196">
        <v>1308</v>
      </c>
      <c r="S11" s="196">
        <v>1521</v>
      </c>
      <c r="T11" s="196">
        <v>944</v>
      </c>
      <c r="U11" s="196">
        <v>1193</v>
      </c>
      <c r="V11" s="196">
        <v>1272</v>
      </c>
      <c r="W11" s="196">
        <v>605</v>
      </c>
      <c r="X11" s="202">
        <v>361</v>
      </c>
      <c r="Y11" s="204">
        <v>24</v>
      </c>
      <c r="Z11" s="194">
        <v>48</v>
      </c>
      <c r="AA11" s="194">
        <v>55</v>
      </c>
      <c r="AB11" s="194">
        <v>17</v>
      </c>
      <c r="AC11" s="196">
        <v>0</v>
      </c>
      <c r="AD11" s="196">
        <v>0</v>
      </c>
      <c r="AE11" s="196">
        <v>0</v>
      </c>
      <c r="AF11" s="202">
        <v>0</v>
      </c>
      <c r="AG11" s="215">
        <v>37</v>
      </c>
      <c r="AH11" s="196">
        <v>49</v>
      </c>
      <c r="AI11" s="196">
        <v>49</v>
      </c>
      <c r="AJ11" s="216">
        <v>37</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1558</v>
      </c>
      <c r="AZ11" s="137">
        <f t="shared" si="1"/>
        <v>993</v>
      </c>
      <c r="BA11" s="137">
        <f t="shared" si="1"/>
        <v>1242</v>
      </c>
      <c r="BB11" s="137">
        <f t="shared" si="1"/>
        <v>1309</v>
      </c>
      <c r="BC11" s="135">
        <f>IF(ISNUMBER(X11),X11," - ")</f>
        <v>361</v>
      </c>
      <c r="BD11" s="136">
        <f t="shared" ref="BD11:BD13" si="2">IF(ISNUMBER(BA11/AZ11),BA11/AZ11," - ")</f>
        <v>1.2507552870090635</v>
      </c>
      <c r="BE11" s="137">
        <f t="shared" ref="BE11:BE13" si="3">IF(ISNUMBER(BB11/BA11),BB11/BA11, " - ")</f>
        <v>1.0539452495974235</v>
      </c>
      <c r="BF11" s="137">
        <f t="shared" ref="BF11:BF13" si="4">IF(ISNUMBER(BC11/BA11),BC11/BA11, " - ")</f>
        <v>0.29066022544283415</v>
      </c>
      <c r="BG11" s="209">
        <f t="shared" ref="BG11:BG13" si="5">IF(ISNUMBER((AY11+AZ11)/BA11),(AY11+AZ11)/BA11," - ")</f>
        <v>2.0539452495974233</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12679</v>
      </c>
      <c r="J14" s="197">
        <f t="shared" si="7"/>
        <v>7010</v>
      </c>
      <c r="K14" s="197">
        <f t="shared" si="7"/>
        <v>7684</v>
      </c>
      <c r="L14" s="197">
        <f t="shared" si="7"/>
        <v>12939</v>
      </c>
      <c r="M14" s="197">
        <f t="shared" si="7"/>
        <v>2154</v>
      </c>
      <c r="N14" s="197">
        <f t="shared" si="7"/>
        <v>3249</v>
      </c>
      <c r="O14" s="197">
        <f t="shared" si="7"/>
        <v>3943</v>
      </c>
      <c r="P14" s="197">
        <f t="shared" si="7"/>
        <v>1588</v>
      </c>
      <c r="Q14" s="197">
        <f t="shared" si="7"/>
        <v>3694</v>
      </c>
      <c r="R14" s="197">
        <f t="shared" si="7"/>
        <v>22643</v>
      </c>
      <c r="S14" s="197">
        <f t="shared" si="7"/>
        <v>16434</v>
      </c>
      <c r="T14" s="197">
        <f t="shared" si="7"/>
        <v>7269</v>
      </c>
      <c r="U14" s="197">
        <f t="shared" si="7"/>
        <v>8708</v>
      </c>
      <c r="V14" s="197">
        <f t="shared" si="7"/>
        <v>14995</v>
      </c>
      <c r="W14" s="197">
        <f t="shared" si="7"/>
        <v>2537</v>
      </c>
      <c r="X14" s="197">
        <f t="shared" si="7"/>
        <v>3624</v>
      </c>
      <c r="Y14" s="197">
        <f t="shared" si="7"/>
        <v>500</v>
      </c>
      <c r="Z14" s="197">
        <f t="shared" si="7"/>
        <v>717</v>
      </c>
      <c r="AA14" s="197">
        <f t="shared" si="7"/>
        <v>760</v>
      </c>
      <c r="AB14" s="197">
        <f t="shared" si="7"/>
        <v>457</v>
      </c>
      <c r="AC14" s="197">
        <f t="shared" si="7"/>
        <v>0</v>
      </c>
      <c r="AD14" s="197">
        <f t="shared" si="7"/>
        <v>0</v>
      </c>
      <c r="AE14" s="197">
        <f t="shared" si="7"/>
        <v>0</v>
      </c>
      <c r="AF14" s="197">
        <f>SUBTOTAL(9,AF9:AF13)</f>
        <v>0</v>
      </c>
      <c r="AG14" s="197">
        <f t="shared" ref="AG14:AT14" si="8">SUBTOTAL(9,AG8:AG13)</f>
        <v>534</v>
      </c>
      <c r="AH14" s="197">
        <f t="shared" si="8"/>
        <v>871</v>
      </c>
      <c r="AI14" s="197">
        <f t="shared" si="8"/>
        <v>924</v>
      </c>
      <c r="AJ14" s="197">
        <f t="shared" si="8"/>
        <v>481</v>
      </c>
      <c r="AK14" s="197">
        <f t="shared" si="8"/>
        <v>0</v>
      </c>
      <c r="AL14" s="197">
        <f t="shared" si="8"/>
        <v>0</v>
      </c>
      <c r="AM14" s="197">
        <f t="shared" si="8"/>
        <v>0</v>
      </c>
      <c r="AN14" s="197">
        <f t="shared" si="8"/>
        <v>0</v>
      </c>
      <c r="AO14" s="197">
        <f t="shared" si="8"/>
        <v>21</v>
      </c>
      <c r="AP14" s="197">
        <f t="shared" si="8"/>
        <v>21</v>
      </c>
      <c r="AQ14" s="197">
        <f t="shared" si="8"/>
        <v>21</v>
      </c>
      <c r="AR14" s="197">
        <f t="shared" si="8"/>
        <v>21</v>
      </c>
      <c r="AS14" s="197">
        <f t="shared" si="8"/>
        <v>0</v>
      </c>
      <c r="AT14" s="197">
        <f t="shared" si="8"/>
        <v>0</v>
      </c>
      <c r="AU14" s="217"/>
      <c r="AV14" s="142"/>
      <c r="AW14" s="217"/>
      <c r="AX14" s="142"/>
      <c r="AY14" s="197">
        <f>SUBTOTAL(9,AY8:AY13)</f>
        <v>16968</v>
      </c>
      <c r="AZ14" s="197">
        <f>SUBTOTAL(9,AZ8:AZ13)</f>
        <v>8140</v>
      </c>
      <c r="BA14" s="197">
        <f>SUBTOTAL(9,BA8:BA13)</f>
        <v>9632</v>
      </c>
      <c r="BB14" s="197">
        <f>SUBTOTAL(9,BB8:BB13)</f>
        <v>15476</v>
      </c>
      <c r="BC14" s="197">
        <f>SUBTOTAL(9,BC8:BC13)</f>
        <v>3616</v>
      </c>
      <c r="BD14" s="219">
        <f>IF(ISNUMBER(BA14/AZ14),BA14/AZ14," - ")</f>
        <v>1.1832923832923834</v>
      </c>
      <c r="BE14" s="220">
        <f>IF(ISNUMBER(BB14/BA14),BB14/BA14, " - ")</f>
        <v>1.6067275747508305</v>
      </c>
      <c r="BF14" s="220">
        <f>IF(ISNUMBER(BC14/BA14),BC14/BA14, " - ")</f>
        <v>0.37541528239202659</v>
      </c>
      <c r="BG14" s="221">
        <f>IF(ISNUMBER((AY14+AZ14)/BA14),(AY14+AZ14)/BA14," - ")</f>
        <v>2.6067275747508307</v>
      </c>
      <c r="BH14" s="153">
        <f>SUBTOTAL(9,BH8:BH13)</f>
        <v>21</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4006</v>
      </c>
      <c r="J16" s="196">
        <v>9840</v>
      </c>
      <c r="K16" s="196">
        <v>9713</v>
      </c>
      <c r="L16" s="196">
        <v>4233</v>
      </c>
      <c r="M16" s="196">
        <v>1054</v>
      </c>
      <c r="N16" s="196">
        <v>6770</v>
      </c>
      <c r="O16" s="194">
        <v>324</v>
      </c>
      <c r="P16" s="196">
        <v>490</v>
      </c>
      <c r="Q16" s="196">
        <v>448</v>
      </c>
      <c r="R16" s="196">
        <v>787</v>
      </c>
      <c r="S16" s="196">
        <v>3859</v>
      </c>
      <c r="T16" s="196">
        <v>9362</v>
      </c>
      <c r="U16" s="196">
        <v>9564</v>
      </c>
      <c r="V16" s="196">
        <v>3726</v>
      </c>
      <c r="W16" s="196">
        <v>1006</v>
      </c>
      <c r="X16" s="202">
        <v>6463</v>
      </c>
      <c r="Y16" s="215">
        <v>0</v>
      </c>
      <c r="Z16" s="196">
        <v>0</v>
      </c>
      <c r="AA16" s="196">
        <v>0</v>
      </c>
      <c r="AB16" s="196">
        <v>0</v>
      </c>
      <c r="AC16" s="196">
        <v>3</v>
      </c>
      <c r="AD16" s="196">
        <v>8</v>
      </c>
      <c r="AE16" s="196">
        <v>9</v>
      </c>
      <c r="AF16" s="202">
        <v>2</v>
      </c>
      <c r="AG16" s="215">
        <v>0</v>
      </c>
      <c r="AH16" s="196">
        <v>0</v>
      </c>
      <c r="AI16" s="196">
        <v>0</v>
      </c>
      <c r="AJ16" s="216">
        <v>0</v>
      </c>
      <c r="AK16" s="195">
        <v>4</v>
      </c>
      <c r="AL16" s="196">
        <v>3</v>
      </c>
      <c r="AM16" s="196">
        <v>5</v>
      </c>
      <c r="AN16" s="202">
        <v>2</v>
      </c>
      <c r="AO16" s="283">
        <v>9</v>
      </c>
      <c r="AP16" s="168">
        <v>9</v>
      </c>
      <c r="AQ16" s="168">
        <v>9</v>
      </c>
      <c r="AR16" s="168">
        <v>9</v>
      </c>
      <c r="AS16" s="381" t="s">
        <v>702</v>
      </c>
      <c r="AT16" s="216" t="s">
        <v>424</v>
      </c>
      <c r="AU16" s="215"/>
      <c r="AV16" s="216"/>
      <c r="AW16" s="215"/>
      <c r="AX16" s="216"/>
      <c r="AY16" s="138">
        <f t="shared" ref="AY16:BB17" si="10">IF(ISNUMBER(IF(D_I="SI",S16,S16+AK16)),IF(D_I="SI",S16,S16+AK16)," - ")</f>
        <v>3859</v>
      </c>
      <c r="AZ16" s="139">
        <f t="shared" si="10"/>
        <v>9362</v>
      </c>
      <c r="BA16" s="139">
        <f t="shared" si="10"/>
        <v>9564</v>
      </c>
      <c r="BB16" s="139">
        <f t="shared" si="10"/>
        <v>3726</v>
      </c>
      <c r="BC16" s="135">
        <f>IF(ISNUMBER(W16),W16," - ")</f>
        <v>1006</v>
      </c>
      <c r="BD16" s="136">
        <f>IF(ISNUMBER(BA16/AZ16),BA16/AZ16," - ")</f>
        <v>1.0215765861995301</v>
      </c>
      <c r="BE16" s="137">
        <f>IF(ISNUMBER(BB16/BA16),BB16/BA16, " - ")</f>
        <v>0.38958594730238394</v>
      </c>
      <c r="BF16" s="137">
        <f>IF(ISNUMBER(BC16/BA16),BC16/BA16, " - ")</f>
        <v>0.10518611459640317</v>
      </c>
      <c r="BG16" s="209">
        <f t="shared" ref="BG16:BG22" si="11">IF(ISNUMBER((AY16+AZ16)/BA16),(AY16+AZ16)/BA16," - ")</f>
        <v>1.3823713927227101</v>
      </c>
      <c r="BH16" s="168">
        <v>9</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256</v>
      </c>
      <c r="J18" s="196">
        <v>785</v>
      </c>
      <c r="K18" s="196">
        <v>762</v>
      </c>
      <c r="L18" s="196">
        <v>285</v>
      </c>
      <c r="M18" s="196">
        <v>127</v>
      </c>
      <c r="N18" s="196">
        <v>535</v>
      </c>
      <c r="O18" s="196">
        <v>49</v>
      </c>
      <c r="P18" s="196">
        <v>46</v>
      </c>
      <c r="Q18" s="196">
        <v>49</v>
      </c>
      <c r="R18" s="196">
        <v>107</v>
      </c>
      <c r="S18" s="196">
        <v>398</v>
      </c>
      <c r="T18" s="196">
        <v>728</v>
      </c>
      <c r="U18" s="196">
        <v>773</v>
      </c>
      <c r="V18" s="196">
        <v>356</v>
      </c>
      <c r="W18" s="196">
        <v>148</v>
      </c>
      <c r="X18" s="202">
        <v>604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398</v>
      </c>
      <c r="AZ18" s="139">
        <f t="shared" si="15"/>
        <v>728</v>
      </c>
      <c r="BA18" s="139">
        <f t="shared" si="15"/>
        <v>773</v>
      </c>
      <c r="BB18" s="139">
        <f t="shared" si="15"/>
        <v>356</v>
      </c>
      <c r="BC18" s="135">
        <f>IF(ISNUMBER(W18),W18," - ")</f>
        <v>148</v>
      </c>
      <c r="BD18" s="136">
        <f>IF(ISNUMBER(BA18/AZ18),BA18/AZ18," - ")</f>
        <v>1.0618131868131868</v>
      </c>
      <c r="BE18" s="137">
        <f>IF(ISNUMBER(BB18/BA18),BB18/BA18, " - ")</f>
        <v>0.46054333764553684</v>
      </c>
      <c r="BF18" s="137">
        <f>IF(ISNUMBER(BC18/BA18),BC18/BA18, " - ")</f>
        <v>0.19146183699870634</v>
      </c>
      <c r="BG18" s="209">
        <f>IF(ISNUMBER((AY18+AZ18)/BA18),(AY18+AZ18)/BA18," - ")</f>
        <v>1.4566623544631307</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4262</v>
      </c>
      <c r="J23" s="197">
        <f t="shared" si="21"/>
        <v>10625</v>
      </c>
      <c r="K23" s="197">
        <f t="shared" si="21"/>
        <v>10475</v>
      </c>
      <c r="L23" s="197">
        <f t="shared" si="21"/>
        <v>4518</v>
      </c>
      <c r="M23" s="197">
        <f t="shared" si="21"/>
        <v>1181</v>
      </c>
      <c r="N23" s="197">
        <f t="shared" si="21"/>
        <v>7305</v>
      </c>
      <c r="O23" s="197">
        <f t="shared" si="21"/>
        <v>373</v>
      </c>
      <c r="P23" s="197">
        <f t="shared" si="21"/>
        <v>536</v>
      </c>
      <c r="Q23" s="197">
        <f t="shared" si="21"/>
        <v>497</v>
      </c>
      <c r="R23" s="197">
        <f t="shared" si="21"/>
        <v>894</v>
      </c>
      <c r="S23" s="197">
        <f t="shared" si="21"/>
        <v>4257</v>
      </c>
      <c r="T23" s="197">
        <f t="shared" si="21"/>
        <v>10090</v>
      </c>
      <c r="U23" s="197">
        <f t="shared" si="21"/>
        <v>10337</v>
      </c>
      <c r="V23" s="197">
        <f t="shared" si="21"/>
        <v>4082</v>
      </c>
      <c r="W23" s="197">
        <f t="shared" si="21"/>
        <v>1154</v>
      </c>
      <c r="X23" s="197">
        <f t="shared" si="21"/>
        <v>7067</v>
      </c>
      <c r="Y23" s="197">
        <f t="shared" si="21"/>
        <v>0</v>
      </c>
      <c r="Z23" s="197">
        <f t="shared" si="21"/>
        <v>0</v>
      </c>
      <c r="AA23" s="197">
        <f t="shared" si="21"/>
        <v>0</v>
      </c>
      <c r="AB23" s="197">
        <f t="shared" si="21"/>
        <v>0</v>
      </c>
      <c r="AC23" s="197">
        <f t="shared" si="21"/>
        <v>3</v>
      </c>
      <c r="AD23" s="197">
        <f t="shared" si="21"/>
        <v>8</v>
      </c>
      <c r="AE23" s="197">
        <f t="shared" si="21"/>
        <v>9</v>
      </c>
      <c r="AF23" s="197">
        <f t="shared" si="21"/>
        <v>2</v>
      </c>
      <c r="AG23" s="197">
        <f t="shared" si="21"/>
        <v>0</v>
      </c>
      <c r="AH23" s="197">
        <f t="shared" si="21"/>
        <v>0</v>
      </c>
      <c r="AI23" s="197">
        <f t="shared" si="21"/>
        <v>0</v>
      </c>
      <c r="AJ23" s="197">
        <f t="shared" si="21"/>
        <v>0</v>
      </c>
      <c r="AK23" s="197">
        <f t="shared" si="21"/>
        <v>4</v>
      </c>
      <c r="AL23" s="197">
        <f t="shared" si="21"/>
        <v>3</v>
      </c>
      <c r="AM23" s="197">
        <f t="shared" si="21"/>
        <v>5</v>
      </c>
      <c r="AN23" s="197">
        <f t="shared" si="21"/>
        <v>2</v>
      </c>
      <c r="AO23" s="197">
        <f t="shared" si="21"/>
        <v>11</v>
      </c>
      <c r="AP23" s="197">
        <f t="shared" si="21"/>
        <v>11</v>
      </c>
      <c r="AQ23" s="197">
        <f t="shared" si="21"/>
        <v>11</v>
      </c>
      <c r="AR23" s="197">
        <f t="shared" si="21"/>
        <v>11</v>
      </c>
      <c r="AS23" s="197">
        <f t="shared" si="21"/>
        <v>0</v>
      </c>
      <c r="AT23" s="197">
        <f t="shared" si="21"/>
        <v>0</v>
      </c>
      <c r="AU23" s="217"/>
      <c r="AV23" s="142"/>
      <c r="AW23" s="217"/>
      <c r="AX23" s="142"/>
      <c r="AY23" s="197">
        <f>SUBTOTAL(9,AY15:AY22)</f>
        <v>4257</v>
      </c>
      <c r="AZ23" s="197">
        <f>SUBTOTAL(9,AZ15:AZ22)</f>
        <v>10090</v>
      </c>
      <c r="BA23" s="197">
        <f>SUBTOTAL(9,BA15:BA22)</f>
        <v>10337</v>
      </c>
      <c r="BB23" s="197">
        <f>SUBTOTAL(9,BB15:BB22)</f>
        <v>4082</v>
      </c>
      <c r="BC23" s="197">
        <f>SUBTOTAL(9,BC15:BC22)</f>
        <v>1154</v>
      </c>
      <c r="BD23" s="219">
        <f>IF(ISNUMBER(BA23/AZ23),BA23/AZ23," - ")</f>
        <v>1.0244796828543112</v>
      </c>
      <c r="BE23" s="220">
        <f>IF(ISNUMBER(BB23/BA23),BB23/BA23, " - ")</f>
        <v>0.39489213504885362</v>
      </c>
      <c r="BF23" s="220">
        <f>IF(ISNUMBER(BC23/BA23),BC23/BA23, " - ")</f>
        <v>0.11163780593982781</v>
      </c>
      <c r="BG23" s="221">
        <f>IF(ISNUMBER((AY23+AZ23)/BA23),(AY23+AZ23)/BA23," - ")</f>
        <v>1.3879268646609269</v>
      </c>
      <c r="BH23" s="197">
        <f>SUBTOTAL(9,BH15:BH22)</f>
        <v>11</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16941</v>
      </c>
      <c r="J31" s="144">
        <f t="shared" si="36"/>
        <v>17635</v>
      </c>
      <c r="K31" s="144">
        <f t="shared" si="36"/>
        <v>18159</v>
      </c>
      <c r="L31" s="144">
        <f t="shared" si="36"/>
        <v>17457</v>
      </c>
      <c r="M31" s="144">
        <f t="shared" si="36"/>
        <v>3335</v>
      </c>
      <c r="N31" s="144">
        <f t="shared" si="36"/>
        <v>10554</v>
      </c>
      <c r="O31" s="144">
        <f t="shared" si="36"/>
        <v>4316</v>
      </c>
      <c r="P31" s="144">
        <f t="shared" si="36"/>
        <v>2124</v>
      </c>
      <c r="Q31" s="144">
        <f t="shared" si="36"/>
        <v>4191</v>
      </c>
      <c r="R31" s="144">
        <f t="shared" si="36"/>
        <v>23537</v>
      </c>
      <c r="S31" s="144">
        <f t="shared" si="36"/>
        <v>20691</v>
      </c>
      <c r="T31" s="144">
        <f t="shared" si="36"/>
        <v>17359</v>
      </c>
      <c r="U31" s="144">
        <f t="shared" si="36"/>
        <v>19045</v>
      </c>
      <c r="V31" s="144">
        <f t="shared" si="36"/>
        <v>19077</v>
      </c>
      <c r="W31" s="144">
        <f t="shared" si="36"/>
        <v>3691</v>
      </c>
      <c r="X31" s="144">
        <f t="shared" si="36"/>
        <v>10691</v>
      </c>
      <c r="Y31" s="144">
        <f t="shared" si="36"/>
        <v>500</v>
      </c>
      <c r="Z31" s="144">
        <f t="shared" si="36"/>
        <v>717</v>
      </c>
      <c r="AA31" s="144">
        <f t="shared" si="36"/>
        <v>760</v>
      </c>
      <c r="AB31" s="144">
        <f t="shared" si="36"/>
        <v>457</v>
      </c>
      <c r="AC31" s="144">
        <f t="shared" si="36"/>
        <v>3</v>
      </c>
      <c r="AD31" s="144">
        <f t="shared" si="36"/>
        <v>8</v>
      </c>
      <c r="AE31" s="144">
        <f t="shared" si="36"/>
        <v>9</v>
      </c>
      <c r="AF31" s="144">
        <f t="shared" si="36"/>
        <v>2</v>
      </c>
      <c r="AG31" s="144">
        <f t="shared" si="36"/>
        <v>534</v>
      </c>
      <c r="AH31" s="144">
        <f t="shared" si="36"/>
        <v>871</v>
      </c>
      <c r="AI31" s="144">
        <f t="shared" si="36"/>
        <v>924</v>
      </c>
      <c r="AJ31" s="144">
        <f t="shared" si="36"/>
        <v>481</v>
      </c>
      <c r="AK31" s="144">
        <f t="shared" si="36"/>
        <v>4</v>
      </c>
      <c r="AL31" s="144">
        <f t="shared" si="36"/>
        <v>3</v>
      </c>
      <c r="AM31" s="144">
        <f t="shared" si="36"/>
        <v>5</v>
      </c>
      <c r="AN31" s="224">
        <f t="shared" si="36"/>
        <v>2</v>
      </c>
      <c r="AO31" s="225">
        <v>30</v>
      </c>
      <c r="AP31" s="225">
        <v>30</v>
      </c>
      <c r="AQ31" s="225">
        <v>30</v>
      </c>
      <c r="AR31" s="225">
        <v>30</v>
      </c>
      <c r="AS31" s="166">
        <f t="shared" si="36"/>
        <v>0</v>
      </c>
      <c r="AT31" s="166">
        <f t="shared" si="36"/>
        <v>0</v>
      </c>
      <c r="AU31" s="225"/>
      <c r="AV31" s="226"/>
      <c r="AW31" s="225"/>
      <c r="AX31" s="226"/>
      <c r="AY31" s="143">
        <f>SUBTOTAL(9,AY9:AY30)</f>
        <v>21225</v>
      </c>
      <c r="AZ31" s="144">
        <f>SUBTOTAL(9,AZ9:AZ30)</f>
        <v>18230</v>
      </c>
      <c r="BA31" s="144">
        <f>SUBTOTAL(9,BA9:BA30)</f>
        <v>19969</v>
      </c>
      <c r="BB31" s="144">
        <f>SUBTOTAL(9,BB9:BB30)</f>
        <v>19558</v>
      </c>
      <c r="BC31" s="145">
        <f>SUBTOTAL(9,BC9:BC30)</f>
        <v>4770</v>
      </c>
      <c r="BD31" s="227">
        <f>IF(ISNUMBER(BA31/AZ31),BA31/AZ31," - ")</f>
        <v>1.0953922106417993</v>
      </c>
      <c r="BE31" s="224">
        <f>IF(ISNUMBER(BB31/BA31),BB31/BA31, " - ")</f>
        <v>0.97941809805198055</v>
      </c>
      <c r="BF31" s="224">
        <f>IF(ISNUMBER(BC31/BA31),BC31/BA31, " - ")</f>
        <v>0.23887024888577293</v>
      </c>
      <c r="BG31" s="145">
        <f>IF(ISNUMBER((AY31+AZ31)/BA31),(AY31+AZ31)/BA31," - ")</f>
        <v>1.9758125093895538</v>
      </c>
      <c r="BH31" s="225">
        <f>SUBTOTAL(9,BH9:BH30)</f>
        <v>32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RF0eauAu9jeiJzSTehcbe8DkF8IEfqvdoM4rS81mk6ftYuCgpHPo1iInRBOP/v+a7/83dwyGr1SrDA3GhUBjQ==" saltValue="BnfC2yeAUWgXoOD0lexAh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ab9hwY9cwjJFGEPxvJM092hLXvJgJhrCfBelXCCvStRDOHHtxnRB4mPYjBnoQ1Oqv3cs8usganlYNvfK/DLNw==" saltValue="0Je5EGEGG1yBEp6Ap44T8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GRANADA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16</v>
      </c>
      <c r="B9" s="745" t="s">
        <v>321</v>
      </c>
      <c r="C9" s="765" t="str">
        <f>Datos!A9</f>
        <v xml:space="preserve">Jdos. 1ª Instancia   </v>
      </c>
      <c r="D9" s="593"/>
      <c r="E9" s="764">
        <f>IF(ISNUMBER(Datos!AQ9),Datos!AQ9," - ")</f>
        <v>16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669</v>
      </c>
      <c r="O9" s="549"/>
      <c r="P9" s="549"/>
      <c r="Q9" s="547">
        <f>IF(ISNUMBER(Datos!P9),Datos!P9,0)</f>
        <v>1432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3528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440</v>
      </c>
      <c r="AI9" s="549" t="str">
        <f>IF(ISNUMBER(Datos!CD9),Datos!CD9,"-")</f>
        <v>-</v>
      </c>
      <c r="AJ9" s="549" t="str">
        <f>IF(ISNUMBER(Datos!EN9),Datos!EN9," - ")</f>
        <v xml:space="preserve"> - </v>
      </c>
      <c r="AK9" s="549"/>
      <c r="AL9" s="550"/>
      <c r="AM9" s="766">
        <f>IF(ISNUMBER(Datos!R9),Datos!R9," - ")</f>
        <v>21138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1734</v>
      </c>
      <c r="BD9" s="693">
        <f>IF(ISNUMBER(Datos!N9),Datos!N9," - ")</f>
        <v>2950</v>
      </c>
      <c r="BE9" s="693" t="str">
        <f>IF(ISNUMBER(Datos!BW9),Datos!BW9," - ")</f>
        <v xml:space="preserve"> - </v>
      </c>
      <c r="BF9" s="762" t="str">
        <f>IF(ISNUMBER(Datos!BX9),Datos!BX9," - ")</f>
        <v xml:space="preserve"> - </v>
      </c>
      <c r="BG9" s="763">
        <f>IF(ISNUMBER(IF(J_V="SI",Datos!K9/Datos!J9,(Datos!K9+Datos!AA9)/(Datos!J9+Datos!Z9))),IF(J_V="SI",Datos!K9/Datos!J9,(Datos!K9+Datos!AA9)/(Datos!J9+Datos!Z9))," - ")</f>
        <v>1.1085477669328601</v>
      </c>
      <c r="BH9" s="764">
        <f>IF(ISNUMBER(((IF(J_V="SI",Datos!L9/Datos!K9,(Datos!L9+Datos!AB9)/(Datos!K9+Datos!AA9)))*11)/factor_trimestre),((IF(J_V="SI",Datos!L9/Datos!K9,(Datos!L9+Datos!AB9)/(Datos!K9+Datos!AA9)))*11)/factor_trimestre," - ")</f>
        <v>4.8025613660618998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-9.0212619437031932E-2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192</v>
      </c>
      <c r="G10" s="543">
        <f>IF(ISNUMBER(Datos!I10),Datos!I10," - ")</f>
        <v>192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101</v>
      </c>
      <c r="AC10" s="547">
        <f>IF(ISNUMBER(Datos!Q10),Datos!Q10," - ")</f>
        <v>30</v>
      </c>
      <c r="AD10" s="549"/>
      <c r="AE10" s="563"/>
      <c r="AF10" s="551">
        <f>IF(ISNUMBER(Datos!L10),Datos!L10,"-")</f>
        <v>204</v>
      </c>
      <c r="AG10" s="549"/>
      <c r="AH10" s="549"/>
      <c r="AI10" s="549"/>
      <c r="AJ10" s="549"/>
      <c r="AK10" s="549"/>
      <c r="AL10" s="550"/>
      <c r="AM10" s="766">
        <f>IF(ISNUMBER(Datos!R10),Datos!R10," - ")</f>
        <v>197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47</v>
      </c>
      <c r="BD10" s="693">
        <f>IF(ISNUMBER(Datos!N10),Datos!N10," - ")</f>
        <v>43</v>
      </c>
      <c r="BE10" s="693" t="str">
        <f>IF(ISNUMBER(Datos!BW10),Datos!BW10," - ")</f>
        <v xml:space="preserve"> - </v>
      </c>
      <c r="BF10" s="762" t="str">
        <f>IF(ISNUMBER(Datos!BX10),Datos!BX10," - ")</f>
        <v xml:space="preserve"> - </v>
      </c>
      <c r="BG10" s="763">
        <f>IF(ISNUMBER(Datos!K10/Datos!J10),Datos!K10/Datos!J10," - ")</f>
        <v>0.89380530973451322</v>
      </c>
      <c r="BH10" s="764">
        <f>IF(ISNUMBER(((Datos!L10/Datos!K10)*11)/factor_trimestre),((Datos!L10/Datos!K10)*11)/factor_trimestre," - ")</f>
        <v>6.0594059405940603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5.1020408163265302E-3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48</v>
      </c>
      <c r="O11" s="549"/>
      <c r="P11" s="549"/>
      <c r="Q11" s="547">
        <f>IF(ISNUMBER(Datos!P11),Datos!P11,0)</f>
        <v>125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136</v>
      </c>
      <c r="AD11" s="549"/>
      <c r="AE11" s="563"/>
      <c r="AF11" s="551" t="str">
        <f>IF(ISNUMBER(IF(J_V="SI",Datos!L11,Datos!L11+Datos!AB11)-IF(Monitorios="SI",Datos!CD11,0)),
                          IF(J_V="SI",Datos!L11,Datos!L11+Datos!AB11)-IF(Monitorios="SI",Datos!CD11,0),
                          " - ")</f>
        <v xml:space="preserve"> - </v>
      </c>
      <c r="AG11" s="549"/>
      <c r="AH11" s="549">
        <f>IF(ISNUMBER(Datos!AB11),Datos!AB11,"-")</f>
        <v>17</v>
      </c>
      <c r="AI11" s="549"/>
      <c r="AJ11" s="549"/>
      <c r="AK11" s="549"/>
      <c r="AL11" s="550"/>
      <c r="AM11" s="766">
        <f>IF(ISNUMBER(Datos!R11),Datos!R11," - ")</f>
        <v>1308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373</v>
      </c>
      <c r="BD11" s="693">
        <f>IF(ISNUMBER(Datos!N11),Datos!N11," - ")</f>
        <v>256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0.994131455399061</v>
      </c>
      <c r="BH11" s="764">
        <f>IF(ISNUMBER(((IF(J_V="SI",Datos!L11/Datos!K11,(Datos!L11+Datos!AB11)/(Datos!K11+Datos!AA11)))*11)/factor_trimestre),((IF(J_V="SI",Datos!L11/Datos!K11,(Datos!L11+Datos!AB11)/(Datos!K11+Datos!AA11)))*11)/factor_trimestre," - ")</f>
        <v>4.221959858323495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-8.339651250947688E-3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21</v>
      </c>
      <c r="F14" s="1197">
        <f t="shared" si="1"/>
        <v>192</v>
      </c>
      <c r="G14" s="1197">
        <f t="shared" si="1"/>
        <v>192</v>
      </c>
      <c r="H14" s="1198">
        <f t="shared" si="1"/>
        <v>0</v>
      </c>
      <c r="I14" s="1197">
        <f t="shared" si="1"/>
        <v>0</v>
      </c>
      <c r="J14" s="1164">
        <f t="shared" si="1"/>
        <v>0</v>
      </c>
      <c r="K14" s="1164">
        <f t="shared" si="1"/>
        <v>0</v>
      </c>
      <c r="L14" s="1198">
        <f t="shared" si="1"/>
        <v>0</v>
      </c>
      <c r="M14" s="1198">
        <f t="shared" si="1"/>
        <v>0</v>
      </c>
      <c r="N14" s="1198">
        <f t="shared" si="1"/>
        <v>717</v>
      </c>
      <c r="O14" s="1199">
        <f t="shared" si="1"/>
        <v>0</v>
      </c>
      <c r="P14" s="1199">
        <f t="shared" si="1"/>
        <v>0</v>
      </c>
      <c r="Q14" s="1198">
        <f t="shared" si="1"/>
        <v>1588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101</v>
      </c>
      <c r="AC14" s="1198">
        <f t="shared" si="2"/>
        <v>3694</v>
      </c>
      <c r="AD14" s="1198">
        <f t="shared" si="2"/>
        <v>0</v>
      </c>
      <c r="AE14" s="1198">
        <f t="shared" si="2"/>
        <v>0</v>
      </c>
      <c r="AF14" s="1198">
        <f t="shared" si="2"/>
        <v>204</v>
      </c>
      <c r="AG14" s="1198">
        <f t="shared" si="2"/>
        <v>0</v>
      </c>
      <c r="AH14" s="1198">
        <f t="shared" si="2"/>
        <v>457</v>
      </c>
      <c r="AI14" s="1198">
        <f t="shared" si="2"/>
        <v>0</v>
      </c>
      <c r="AJ14" s="1198">
        <f t="shared" si="2"/>
        <v>0</v>
      </c>
      <c r="AK14" s="1198">
        <f t="shared" si="2"/>
        <v>0</v>
      </c>
      <c r="AL14" s="1198">
        <f t="shared" si="2"/>
        <v>0</v>
      </c>
      <c r="AM14" s="1198">
        <f t="shared" si="2"/>
        <v>22643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2154</v>
      </c>
      <c r="BD14" s="1198">
        <f t="shared" si="2"/>
        <v>3249</v>
      </c>
      <c r="BE14" s="1198">
        <f t="shared" si="2"/>
        <v>0</v>
      </c>
      <c r="BF14" s="1198">
        <f t="shared" si="2"/>
        <v>0</v>
      </c>
      <c r="BG14" s="1198">
        <f>IF(ISNUMBER(Datos!K14/Datos!J14),Datos!K14/Datos!J14," - ")</f>
        <v>1.0961483594864478</v>
      </c>
      <c r="BH14" s="1202">
        <f>IF(ISNUMBER(((Datos!L14/Datos!K14)*11)/factor_trimestre),((Datos!L14/Datos!K14)*11)/factor_trimestre," - ")</f>
        <v>5.0516657990629881</v>
      </c>
      <c r="BI14" s="1198">
        <f>IF(ISNUMBER('Resol  Asuntos'!D14/NºAsuntos!G14),'Resol  Asuntos'!D14/NºAsuntos!G14," - ")</f>
        <v>0.25509237328280437</v>
      </c>
      <c r="BJ14" s="1198" t="str">
        <f>IF(ISNUMBER(Datos!CI14/Datos!CJ14),Datos!CI14/Datos!CJ14," - ")</f>
        <v xml:space="preserve"> - </v>
      </c>
      <c r="BK14" s="1198">
        <f>SUBTOTAL(9,BK8:BK13)</f>
        <v>0</v>
      </c>
      <c r="BL14" s="1198">
        <f>IF(ISNUMBER((I14-AB14+L14)/(F14)),(I14-AB14+L14)/(F14)," - ")</f>
        <v>-0.52604166666666663</v>
      </c>
      <c r="BM14" s="1203">
        <f>SUBTOTAL(9,BM9:BM13)</f>
        <v>-9.3450229871653079E-2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9</v>
      </c>
      <c r="B16" s="737" t="s">
        <v>511</v>
      </c>
      <c r="C16" s="749" t="str">
        <f>Datos!A16</f>
        <v xml:space="preserve">Jdos. Instrucción                               </v>
      </c>
      <c r="D16" s="750"/>
      <c r="E16" s="1555">
        <f>IF(ISNUMBER(Datos!AQ16),Datos!AQ16," - ")</f>
        <v>9</v>
      </c>
      <c r="F16" s="740">
        <f>IF(ISNUMBER(AF16+AB16-Datos!J16-L16),AF16+AB16-Datos!J16-L16," - ")</f>
        <v>4106</v>
      </c>
      <c r="G16" s="743">
        <f>IF(ISNUMBER(IF(D_I="SI",Datos!I16,Datos!I16+Datos!AC16)),IF(D_I="SI",Datos!I16,Datos!I16+Datos!AC16)," - ")</f>
        <v>4006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490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9713</v>
      </c>
      <c r="AC16" s="240">
        <f>IF(ISNUMBER(Datos!Q16),Datos!Q16," - ")</f>
        <v>448</v>
      </c>
      <c r="AD16" s="374"/>
      <c r="AE16" s="562"/>
      <c r="AF16" s="741">
        <f>IF(ISNUMBER(IF(D_I="SI",Datos!L16,Datos!L16+Datos!AF16)),IF(D_I="SI",Datos!L16,Datos!L16+Datos!AF16)," - ")</f>
        <v>4233</v>
      </c>
      <c r="AG16" s="374"/>
      <c r="AH16" s="374"/>
      <c r="AI16" s="374"/>
      <c r="AJ16" s="549"/>
      <c r="AK16" s="374"/>
      <c r="AL16" s="545"/>
      <c r="AM16" s="375">
        <f>IF(ISNUMBER(Datos!R16),Datos!R16," - ")</f>
        <v>787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1054</v>
      </c>
      <c r="BD16" s="243">
        <f>IF(ISNUMBER(Datos!N16),Datos!N16," - ")</f>
        <v>6770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0.98709349593495932</v>
      </c>
      <c r="BH16" s="764">
        <f>IF(ISNUMBER(((IF(D_I="SI",Datos!L16/Datos!K16,(Datos!L16+Datos!AF16)/(Datos!K16+Datos!AE16)))*11)/factor_trimestre),((IF(D_I="SI",Datos!L16/Datos!K16,(Datos!L16+Datos!AF16)/(Datos!K16+Datos!AE16)))*11)/factor_trimestre," - ")</f>
        <v>1.307423041284876</v>
      </c>
      <c r="BI16" s="266">
        <f>IF(ISNUMBER('Resol  Asuntos'!D16/NºAsuntos!G16),'Resol  Asuntos'!D16/NºAsuntos!G16," - ")</f>
        <v>0.1085143621949964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256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762</v>
      </c>
      <c r="AC18" s="547">
        <f>IF(ISNUMBER(Datos!Q18),Datos!Q18," - ")</f>
        <v>49</v>
      </c>
      <c r="AD18" s="549"/>
      <c r="AE18" s="562"/>
      <c r="AF18" s="551">
        <f>IF(ISNUMBER(Datos!L18),Datos!L18,"-")</f>
        <v>285</v>
      </c>
      <c r="AG18" s="549"/>
      <c r="AH18" s="549"/>
      <c r="AI18" s="549"/>
      <c r="AJ18" s="549"/>
      <c r="AK18" s="549"/>
      <c r="AL18" s="550"/>
      <c r="AM18" s="766">
        <f>IF(ISNUMBER(Datos!R18),Datos!R18," - ")</f>
        <v>107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127</v>
      </c>
      <c r="BD18" s="693">
        <f>IF(ISNUMBER(Datos!N18),Datos!N18," - ")</f>
        <v>535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0.97070063694267517</v>
      </c>
      <c r="BH18" s="764">
        <f>IF(ISNUMBER(((IF(D_I="SI",Datos!L18/Datos!K18,(Datos!L18+Datos!AF18)/(Datos!K18+Datos!AE18)))*11)/factor_trimestre),((IF(D_I="SI",Datos!L18/Datos!K18,(Datos!L18+Datos!AF18)/(Datos!K18+Datos!AE18)))*11)/factor_trimestre," - ")</f>
        <v>1.1220472440944882</v>
      </c>
      <c r="BI18" s="763">
        <f>IF(ISNUMBER('Resol  Asuntos'!D18/NºAsuntos!G18),'Resol  Asuntos'!D18/NºAsuntos!G18," - ")</f>
        <v>0.16666666666666666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11</v>
      </c>
      <c r="F23" s="1197">
        <f>SUBTOTAL(9,F16:F22)</f>
        <v>4106</v>
      </c>
      <c r="G23" s="1197">
        <f>SUBTOTAL(9,G16:G22)</f>
        <v>4262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536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10475</v>
      </c>
      <c r="AC23" s="1198">
        <f t="shared" si="5"/>
        <v>497</v>
      </c>
      <c r="AD23" s="1198">
        <f t="shared" si="5"/>
        <v>0</v>
      </c>
      <c r="AE23" s="1198">
        <f t="shared" si="5"/>
        <v>0</v>
      </c>
      <c r="AF23" s="1198">
        <f t="shared" si="5"/>
        <v>4518</v>
      </c>
      <c r="AG23" s="1198">
        <f t="shared" si="5"/>
        <v>0</v>
      </c>
      <c r="AH23" s="1198">
        <f t="shared" si="5"/>
        <v>0</v>
      </c>
      <c r="AI23" s="1198">
        <f t="shared" si="5"/>
        <v>0</v>
      </c>
      <c r="AJ23" s="1198">
        <f t="shared" si="5"/>
        <v>0</v>
      </c>
      <c r="AK23" s="1198">
        <f t="shared" si="5"/>
        <v>0</v>
      </c>
      <c r="AL23" s="1198">
        <f t="shared" si="5"/>
        <v>0</v>
      </c>
      <c r="AM23" s="1198">
        <f t="shared" si="5"/>
        <v>894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1181</v>
      </c>
      <c r="BD23" s="1198">
        <f t="shared" si="5"/>
        <v>7305</v>
      </c>
      <c r="BE23" s="1198">
        <f t="shared" si="5"/>
        <v>0</v>
      </c>
      <c r="BF23" s="1198">
        <f t="shared" si="5"/>
        <v>0</v>
      </c>
      <c r="BG23" s="1198">
        <f>IF(ISNUMBER(Datos!K23/Datos!J23),Datos!K23/Datos!J23," - ")</f>
        <v>0.98588235294117643</v>
      </c>
      <c r="BH23" s="1202">
        <f>IF(ISNUMBER(((Datos!L23/Datos!K23)*11)/factor_trimestre),((Datos!L23/Datos!K23)*11)/factor_trimestre," - ")</f>
        <v>1.2939379474940333</v>
      </c>
      <c r="BI23" s="1198">
        <f>SUBTOTAL(9,BI16:BI22)</f>
        <v>0.27518102886166307</v>
      </c>
      <c r="BJ23" s="1198">
        <f>SUBTOTAL(9,BJ16:BJ22)</f>
        <v>0</v>
      </c>
      <c r="BK23" s="1198">
        <f>SUBTOTAL(9,BK16:BK22)</f>
        <v>0</v>
      </c>
      <c r="BL23" s="1198">
        <f>IF(ISNUMBER((I23-AB23+L23)/(F23)),(I23-AB23+L23)/(F23)," - ")</f>
        <v>-2.5511446663419388</v>
      </c>
      <c r="BM23" s="1205">
        <f>IF(ISNUMBER((Datos!P23-Datos!Q23)/(Datos!R23-Datos!P23+Datos!Q23)),(Datos!P23-Datos!Q23)/(Datos!R23-Datos!P23+Datos!Q23)," - ")</f>
        <v>4.5614035087719301E-2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32</v>
      </c>
      <c r="F31" s="1117">
        <f t="shared" si="18"/>
        <v>4298</v>
      </c>
      <c r="G31" s="1117">
        <f t="shared" si="18"/>
        <v>4454</v>
      </c>
      <c r="H31" s="1119">
        <f t="shared" si="18"/>
        <v>0</v>
      </c>
      <c r="I31" s="1117">
        <f t="shared" si="18"/>
        <v>0</v>
      </c>
      <c r="J31" s="1119">
        <f t="shared" si="18"/>
        <v>0</v>
      </c>
      <c r="K31" s="1119">
        <f t="shared" si="18"/>
        <v>0</v>
      </c>
      <c r="L31" s="1180">
        <f t="shared" si="18"/>
        <v>0</v>
      </c>
      <c r="M31" s="1180">
        <f t="shared" si="18"/>
        <v>0</v>
      </c>
      <c r="N31" s="1180">
        <f t="shared" si="18"/>
        <v>717</v>
      </c>
      <c r="O31" s="1180">
        <f t="shared" si="18"/>
        <v>0</v>
      </c>
      <c r="P31" s="1180">
        <f t="shared" si="18"/>
        <v>0</v>
      </c>
      <c r="Q31" s="1119">
        <f t="shared" si="18"/>
        <v>2124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10576</v>
      </c>
      <c r="AC31" s="1118">
        <f t="shared" si="19"/>
        <v>4191</v>
      </c>
      <c r="AD31" s="1118">
        <f t="shared" si="19"/>
        <v>0</v>
      </c>
      <c r="AE31" s="1118">
        <f t="shared" si="19"/>
        <v>0</v>
      </c>
      <c r="AF31" s="1125">
        <f t="shared" si="19"/>
        <v>4722</v>
      </c>
      <c r="AG31" s="1125">
        <f t="shared" si="19"/>
        <v>0</v>
      </c>
      <c r="AH31" s="1125">
        <f t="shared" si="19"/>
        <v>457</v>
      </c>
      <c r="AI31" s="1125">
        <f t="shared" si="19"/>
        <v>0</v>
      </c>
      <c r="AJ31" s="1118">
        <f t="shared" si="19"/>
        <v>0</v>
      </c>
      <c r="AK31" s="1125">
        <f t="shared" si="19"/>
        <v>0</v>
      </c>
      <c r="AL31" s="1125">
        <f t="shared" si="19"/>
        <v>0</v>
      </c>
      <c r="AM31" s="1125">
        <f t="shared" si="19"/>
        <v>23537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3335</v>
      </c>
      <c r="BD31" s="1117">
        <f t="shared" si="19"/>
        <v>10554</v>
      </c>
      <c r="BE31" s="1117">
        <f t="shared" si="19"/>
        <v>0</v>
      </c>
      <c r="BF31" s="1127">
        <f t="shared" si="19"/>
        <v>0</v>
      </c>
      <c r="BG31" s="1223">
        <f>IF(ISNUMBER(Datos!K31/Datos!J31),Datos!K31/Datos!J31," - ")</f>
        <v>1.0297136376523959</v>
      </c>
      <c r="BH31" s="1223">
        <f>IF(ISNUMBER(((Datos!L31/Datos!K31)*11)/factor_trimestre),((Datos!L31/Datos!K31)*11)/factor_trimestre," - ")</f>
        <v>2.8840244506856103</v>
      </c>
      <c r="BI31" s="1103">
        <f>IF(ISNUMBER(Datos!J31/Datos!I31),Datos!J31/Datos!I31," - ")</f>
        <v>1.0409657045038663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-2.4606793857608191</v>
      </c>
      <c r="BM31" s="1188">
        <f>IF(ISNUMBER((Datos!P31-Datos!Q31+R31)/(Datos!R31-Datos!P31+Datos!Q31-R31)),(Datos!P31-Datos!Q31+R31)/(Datos!R31-Datos!P31+Datos!Q31-R31)," - ")</f>
        <v>-8.0729573504139979E-2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1272.5714285714287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6.2379708801624254</v>
      </c>
      <c r="F33" s="673">
        <f>IF(ISNUMBER(STDEV(F8:F30)),STDEV(F8:F30),"-")</f>
        <v>2072.5345513806678</v>
      </c>
      <c r="G33" s="674">
        <f>IF(ISNUMBER(STDEV(G8:G30)),STDEV(G8:G30),"-")</f>
        <v>1958.5657045520886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4843.4447009776595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819.02418225050667</v>
      </c>
      <c r="BD33" s="673"/>
      <c r="BE33" s="673">
        <f>IF(ISNUMBER(STDEV(BE8:BE30)),STDEV(BE8:BE30),"-")</f>
        <v>0</v>
      </c>
      <c r="BF33" s="678">
        <f>IF(ISNUMBER(STDEV(BF8:BF30)),STDEV(BF8:BF30),"-")</f>
        <v>0</v>
      </c>
      <c r="BG33" s="1052">
        <f>IF(ISNUMBER(STDEV(BG8:BG30)),STDEV(BG8:BG30),"-")</f>
        <v>7.4582031546602715E-2</v>
      </c>
      <c r="BH33" s="1058">
        <f>IF(ISNUMBER(STDEV(BH8:BH30)),STDEV(BH8:BH30),"-")</f>
        <v>2.0994516511192276</v>
      </c>
      <c r="BI33" s="273">
        <f>IF(ISNUMBER(STDEV(BI8:BI30)),STDEV(BI8:BI30),"-")</f>
        <v>7.7804567187985757E-2</v>
      </c>
      <c r="BJ33" s="244" t="str">
        <f>IF(ISNUMBER(BL33/BM33),BL33/BM33," - ")</f>
        <v xml:space="preserve"> - </v>
      </c>
      <c r="BK33" s="709"/>
      <c r="BL33" s="681">
        <f>IF(ISNUMBER(STDEV(BL8:BL30)),STDEV(BL8:BL30),"-")</f>
        <v>1.431964063671604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CNBCabYLNhj52N69yZA1WeeGeiE8QhDdwmyxvcbeyEWRMt1JDOtViw3onU4yF1Zfrx7ZXnFnAxU+0r67BKKE6g==" saltValue="90oviLuwQb20Iw/O1z1b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GRANADA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1432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3528</v>
      </c>
      <c r="AA9" s="551" t="str">
        <f>IF(ISNUMBER(IF(J_V="SI",Datos!L9,Datos!L9+Datos!AB9)-IF(Monitorios="SI",Datos!CD9,0)),
                          IF(J_V="SI",Datos!L9,Datos!L9+Datos!AB9)-IF(Monitorios="SI",Datos!CD9,0),
                          " - ")</f>
        <v xml:space="preserve"> - </v>
      </c>
      <c r="AB9" s="549"/>
      <c r="AC9" s="549"/>
      <c r="AD9" s="563"/>
      <c r="AE9" s="563">
        <f>IF(ISNUMBER(Datos!R9),Datos!R9," - ")</f>
        <v>21138</v>
      </c>
      <c r="AF9" s="693" t="str">
        <f>IF(ISNUMBER(Datos!BV9),Datos!BV9," - ")</f>
        <v xml:space="preserve"> - </v>
      </c>
      <c r="AG9" s="552" t="str">
        <f>IF(ISNUMBER(Datos!DV9),Datos!DV9," - ")</f>
        <v xml:space="preserve"> - </v>
      </c>
      <c r="AH9" s="553"/>
      <c r="AI9" s="554"/>
      <c r="AJ9" s="552">
        <f>IF(ISNUMBER(Datos!M9),Datos!M9," - ")</f>
        <v>1734</v>
      </c>
      <c r="AK9" s="693">
        <f>IF(ISNUMBER(Datos!N9),Datos!N9," - ")</f>
        <v>2950</v>
      </c>
      <c r="AL9" s="693" t="str">
        <f>IF(ISNUMBER(Datos!BW9),Datos!BW9," - ")</f>
        <v xml:space="preserve"> - </v>
      </c>
      <c r="AM9" s="762" t="str">
        <f>IF(ISNUMBER(Datos!BX9),Datos!BX9," - ")</f>
        <v xml:space="preserve"> - </v>
      </c>
      <c r="AN9" s="763"/>
      <c r="AO9" s="764">
        <f>IF(ISNUMBER(((NºAsuntos!I9/NºAsuntos!G9)*11)/factor_trimestre),((NºAsuntos!I9/NºAsuntos!G9)*11)/factor_trimestre," - ")</f>
        <v>4.8025613660618998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-9.0212619437031932E-2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192</v>
      </c>
      <c r="G10" s="552">
        <f>IF(ISNUMBER(Datos!I10),Datos!I10," - ")</f>
        <v>192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101</v>
      </c>
      <c r="Z10" s="805">
        <f>IF(ISNUMBER(Datos!Q10),Datos!Q10," - ")</f>
        <v>30</v>
      </c>
      <c r="AA10" s="551">
        <f>IF(ISNUMBER(Datos!L10),Datos!L10,"-")</f>
        <v>204</v>
      </c>
      <c r="AB10" s="549"/>
      <c r="AC10" s="549"/>
      <c r="AD10" s="563"/>
      <c r="AE10" s="563">
        <f>IF(ISNUMBER(Datos!R10),Datos!R10," - ")</f>
        <v>197</v>
      </c>
      <c r="AF10" s="693" t="str">
        <f>IF(ISNUMBER(Datos!BV10),Datos!BV10," - ")</f>
        <v xml:space="preserve"> - </v>
      </c>
      <c r="AG10" s="552" t="str">
        <f>IF(ISNUMBER(Datos!DV10),Datos!DV10," - ")</f>
        <v xml:space="preserve"> - </v>
      </c>
      <c r="AH10" s="553"/>
      <c r="AI10" s="554"/>
      <c r="AJ10" s="552">
        <f>IF(ISNUMBER(Datos!M10),Datos!M10," - ")</f>
        <v>47</v>
      </c>
      <c r="AK10" s="693">
        <f>IF(ISNUMBER(Datos!N10),Datos!N10," - ")</f>
        <v>43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6.0594059405940603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5.1020408163265302E-3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125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136</v>
      </c>
      <c r="AA11" s="551" t="str">
        <f>IF(ISNUMBER(IF(J_V="SI",Datos!L11,Datos!L11+Datos!AB11)-IF(Monitorios="SI",Datos!CD11,0)),
                          IF(J_V="SI",Datos!L11,Datos!L11+Datos!AB11)-IF(Monitorios="SI",Datos!CD11,0),
                          " - ")</f>
        <v xml:space="preserve"> - </v>
      </c>
      <c r="AB11" s="549"/>
      <c r="AC11" s="549"/>
      <c r="AD11" s="563"/>
      <c r="AE11" s="563">
        <f>IF(ISNUMBER(Datos!R11),Datos!R11," - ")</f>
        <v>1308</v>
      </c>
      <c r="AF11" s="693" t="str">
        <f>IF(ISNUMBER(Datos!BV11),Datos!BV11," - ")</f>
        <v xml:space="preserve"> - </v>
      </c>
      <c r="AG11" s="552" t="str">
        <f>IF(ISNUMBER(Datos!DV11),Datos!DV11," - ")</f>
        <v xml:space="preserve"> - </v>
      </c>
      <c r="AH11" s="553"/>
      <c r="AI11" s="554"/>
      <c r="AJ11" s="552">
        <f>IF(ISNUMBER(Datos!M11),Datos!M11," - ")</f>
        <v>373</v>
      </c>
      <c r="AK11" s="693">
        <f>IF(ISNUMBER(Datos!N11),Datos!N11," - ")</f>
        <v>256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4.221959858323495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-8.339651250947688E-3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21</v>
      </c>
      <c r="F14" s="1197">
        <f>SUBTOTAL(9,F8:F13)</f>
        <v>192</v>
      </c>
      <c r="G14" s="1197">
        <f>SUBTOTAL(9,G8:G13)</f>
        <v>192</v>
      </c>
      <c r="H14" s="1211"/>
      <c r="I14" s="1197">
        <f t="shared" ref="I14:N14" si="1">SUBTOTAL(9,I8:I13)</f>
        <v>0</v>
      </c>
      <c r="J14" s="1164">
        <f t="shared" si="1"/>
        <v>0</v>
      </c>
      <c r="K14" s="1211">
        <f t="shared" si="1"/>
        <v>0</v>
      </c>
      <c r="L14" s="1211">
        <f t="shared" si="1"/>
        <v>0</v>
      </c>
      <c r="M14" s="1211">
        <f t="shared" si="1"/>
        <v>0</v>
      </c>
      <c r="N14" s="1211">
        <f t="shared" si="1"/>
        <v>1588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101</v>
      </c>
      <c r="Z14" s="1210">
        <f t="shared" si="3"/>
        <v>3694</v>
      </c>
      <c r="AA14" s="1199">
        <f t="shared" si="3"/>
        <v>204</v>
      </c>
      <c r="AB14" s="1199">
        <f t="shared" si="3"/>
        <v>0</v>
      </c>
      <c r="AC14" s="1199">
        <f t="shared" si="3"/>
        <v>0</v>
      </c>
      <c r="AD14" s="1199">
        <f t="shared" si="3"/>
        <v>0</v>
      </c>
      <c r="AE14" s="1199">
        <f t="shared" si="3"/>
        <v>22643</v>
      </c>
      <c r="AF14" s="1211">
        <f t="shared" si="3"/>
        <v>0</v>
      </c>
      <c r="AG14" s="1211">
        <f t="shared" si="3"/>
        <v>0</v>
      </c>
      <c r="AH14" s="1211">
        <f t="shared" si="3"/>
        <v>0</v>
      </c>
      <c r="AI14" s="1211">
        <f t="shared" si="3"/>
        <v>0</v>
      </c>
      <c r="AJ14" s="1211">
        <f t="shared" si="3"/>
        <v>2154</v>
      </c>
      <c r="AK14" s="1211">
        <f t="shared" si="3"/>
        <v>3249</v>
      </c>
      <c r="AL14" s="1211">
        <f t="shared" si="3"/>
        <v>0</v>
      </c>
      <c r="AM14" s="1211">
        <f t="shared" si="3"/>
        <v>0</v>
      </c>
      <c r="AN14" s="1211">
        <f t="shared" si="3"/>
        <v>0</v>
      </c>
      <c r="AO14" s="1203">
        <f>IF(ISNUMBER(((NºAsuntos!I14/NºAsuntos!G14)*11)/factor_trimestre),((NºAsuntos!I14/NºAsuntos!G14)*11)/factor_trimestre," - ")</f>
        <v>4.7593557555660819</v>
      </c>
      <c r="AP14" s="1213" t="str">
        <f>IF(ISNUMBER(Datos!CI14/Datos!CJ14),Datos!CI14/Datos!CJ14," - ")</f>
        <v xml:space="preserve"> - </v>
      </c>
      <c r="AQ14" s="1236">
        <f t="shared" ref="AQ14:AV14" si="4">SUBTOTAL(9,AQ9:AQ13)</f>
        <v>0</v>
      </c>
      <c r="AR14" s="1236">
        <f t="shared" si="4"/>
        <v>-9.3450229871653079E-2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9</v>
      </c>
      <c r="B16" s="746" t="s">
        <v>511</v>
      </c>
      <c r="C16" s="765" t="str">
        <f>Datos!A16</f>
        <v xml:space="preserve">Jdos. Instrucción                               </v>
      </c>
      <c r="D16" s="593"/>
      <c r="E16" s="1558">
        <f>IF(ISNUMBER(Datos!AQ16),Datos!AQ16," - ")</f>
        <v>9</v>
      </c>
      <c r="F16" s="543">
        <f>IF(ISNUMBER(AA16+Y16-Datos!J16-K16),AA16+Y16-Datos!J16-K16," - ")</f>
        <v>4106</v>
      </c>
      <c r="G16" s="552">
        <f>IF(ISNUMBER(IF(D_I="SI",Datos!I16,Datos!I16+Datos!AC16)),IF(D_I="SI",Datos!I16,Datos!I16+Datos!AC16)," - ")</f>
        <v>4006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490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9713</v>
      </c>
      <c r="Z16" s="805">
        <f>IF(ISNUMBER(Datos!Q16),Datos!Q16," - ")</f>
        <v>448</v>
      </c>
      <c r="AA16" s="551">
        <f>IF(ISNUMBER(IF(D_I="SI",Datos!L16,Datos!L16+Datos!AF16)),IF(D_I="SI",Datos!L16,Datos!L16+Datos!AF16)," - ")</f>
        <v>4233</v>
      </c>
      <c r="AB16" s="549"/>
      <c r="AC16" s="549"/>
      <c r="AD16" s="563"/>
      <c r="AE16" s="563">
        <f>IF(ISNUMBER(Datos!R16),Datos!R16," - ")</f>
        <v>787</v>
      </c>
      <c r="AF16" s="693" t="str">
        <f>IF(ISNUMBER(Datos!BV16),Datos!BV16," - ")</f>
        <v xml:space="preserve"> - </v>
      </c>
      <c r="AG16" s="552"/>
      <c r="AH16" s="553"/>
      <c r="AI16" s="554"/>
      <c r="AJ16" s="552">
        <f>IF(ISNUMBER(Datos!M16),Datos!M16," - ")</f>
        <v>1054</v>
      </c>
      <c r="AK16" s="693">
        <f>IF(ISNUMBER(Datos!N16),Datos!N16," - ")</f>
        <v>6770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1.307423041284876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256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762</v>
      </c>
      <c r="Z18" s="805">
        <f>IF(ISNUMBER(Datos!Q18),Datos!Q18," - ")</f>
        <v>49</v>
      </c>
      <c r="AA18" s="551">
        <f>IF(ISNUMBER(Datos!L18),Datos!L18,"-")</f>
        <v>285</v>
      </c>
      <c r="AB18" s="549"/>
      <c r="AC18" s="549"/>
      <c r="AD18" s="563"/>
      <c r="AE18" s="563">
        <f>IF(ISNUMBER(Datos!R18),Datos!R18," - ")</f>
        <v>107</v>
      </c>
      <c r="AF18" s="693" t="str">
        <f>IF(ISNUMBER(Datos!BV18),Datos!BV18," - ")</f>
        <v xml:space="preserve"> - </v>
      </c>
      <c r="AG18" s="552" t="str">
        <f>IF(ISNUMBER(Datos!DV18),Datos!DV18," - ")</f>
        <v xml:space="preserve"> - </v>
      </c>
      <c r="AH18" s="553"/>
      <c r="AI18" s="554"/>
      <c r="AJ18" s="552">
        <f>IF(ISNUMBER(Datos!M18),Datos!M18," - ")</f>
        <v>127</v>
      </c>
      <c r="AK18" s="693">
        <f>IF(ISNUMBER(Datos!N18),Datos!N18," - ")</f>
        <v>535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1.1220472440944882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11</v>
      </c>
      <c r="F23" s="1197">
        <f>SUBTOTAL(9,F16:F22)</f>
        <v>4106</v>
      </c>
      <c r="G23" s="1197">
        <f>SUBTOTAL(9,G16:G22)</f>
        <v>4262</v>
      </c>
      <c r="H23" s="1240">
        <f>SUBTOTAL(9,H16:H22)</f>
        <v>0</v>
      </c>
      <c r="I23" s="1217">
        <f>SUBTOTAL(9,I16:I22)</f>
        <v>0</v>
      </c>
      <c r="J23" s="1164">
        <f>SUBTOTAL(9,J15:J22)</f>
        <v>0</v>
      </c>
      <c r="K23" s="1240">
        <f t="shared" ref="K23:S23" si="5">SUBTOTAL(9,K16:K22)</f>
        <v>0</v>
      </c>
      <c r="L23" s="1240">
        <f t="shared" si="5"/>
        <v>0</v>
      </c>
      <c r="M23" s="1240">
        <f t="shared" si="5"/>
        <v>0</v>
      </c>
      <c r="N23" s="1240">
        <f t="shared" si="5"/>
        <v>536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10475</v>
      </c>
      <c r="Z23" s="1240">
        <f t="shared" si="6"/>
        <v>497</v>
      </c>
      <c r="AA23" s="1240">
        <f t="shared" si="6"/>
        <v>4518</v>
      </c>
      <c r="AB23" s="1240">
        <f t="shared" si="6"/>
        <v>0</v>
      </c>
      <c r="AC23" s="1240">
        <f t="shared" si="6"/>
        <v>0</v>
      </c>
      <c r="AD23" s="1240">
        <f t="shared" si="6"/>
        <v>0</v>
      </c>
      <c r="AE23" s="1240">
        <f t="shared" si="6"/>
        <v>894</v>
      </c>
      <c r="AF23" s="1240">
        <f t="shared" si="6"/>
        <v>0</v>
      </c>
      <c r="AG23" s="1240">
        <f t="shared" si="6"/>
        <v>0</v>
      </c>
      <c r="AH23" s="1240">
        <f t="shared" si="6"/>
        <v>0</v>
      </c>
      <c r="AI23" s="1240">
        <f t="shared" si="6"/>
        <v>0</v>
      </c>
      <c r="AJ23" s="1240">
        <f t="shared" si="6"/>
        <v>1181</v>
      </c>
      <c r="AK23" s="1240">
        <f t="shared" si="6"/>
        <v>7305</v>
      </c>
      <c r="AL23" s="1240">
        <f t="shared" si="6"/>
        <v>0</v>
      </c>
      <c r="AM23" s="1240">
        <f t="shared" si="6"/>
        <v>0</v>
      </c>
      <c r="AN23" s="1240">
        <f t="shared" si="6"/>
        <v>0</v>
      </c>
      <c r="AO23" s="1242">
        <f>IF(ISNUMBER(((NºAsuntos!I23/NºAsuntos!G23)*11)/factor_trimestre),((NºAsuntos!I23/NºAsuntos!G23)*11)/factor_trimestre," - ")</f>
        <v>1.2939379474940333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32</v>
      </c>
      <c r="F31" s="1117">
        <f t="shared" si="12"/>
        <v>4298</v>
      </c>
      <c r="G31" s="1117">
        <f t="shared" si="12"/>
        <v>4454</v>
      </c>
      <c r="H31" s="1118">
        <f t="shared" si="12"/>
        <v>0</v>
      </c>
      <c r="I31" s="1117">
        <f t="shared" si="12"/>
        <v>0</v>
      </c>
      <c r="J31" s="1119">
        <f t="shared" si="12"/>
        <v>0</v>
      </c>
      <c r="K31" s="1117">
        <f t="shared" si="12"/>
        <v>0</v>
      </c>
      <c r="L31" s="1120">
        <f t="shared" si="12"/>
        <v>0</v>
      </c>
      <c r="M31" s="1117">
        <f t="shared" si="12"/>
        <v>0</v>
      </c>
      <c r="N31" s="1118">
        <f t="shared" si="12"/>
        <v>2124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10576</v>
      </c>
      <c r="Z31" s="1124">
        <f t="shared" si="13"/>
        <v>4191</v>
      </c>
      <c r="AA31" s="1125">
        <f t="shared" si="13"/>
        <v>4722</v>
      </c>
      <c r="AB31" s="1125">
        <f t="shared" si="13"/>
        <v>0</v>
      </c>
      <c r="AC31" s="1125">
        <f t="shared" si="13"/>
        <v>0</v>
      </c>
      <c r="AD31" s="1126">
        <f t="shared" si="13"/>
        <v>0</v>
      </c>
      <c r="AE31" s="1126">
        <f t="shared" si="13"/>
        <v>23537</v>
      </c>
      <c r="AF31" s="1127">
        <f t="shared" si="13"/>
        <v>0</v>
      </c>
      <c r="AG31" s="1128">
        <f t="shared" si="13"/>
        <v>0</v>
      </c>
      <c r="AH31" s="1129">
        <f t="shared" si="13"/>
        <v>0</v>
      </c>
      <c r="AI31" s="1127">
        <f t="shared" si="13"/>
        <v>0</v>
      </c>
      <c r="AJ31" s="1117">
        <f t="shared" si="13"/>
        <v>3335</v>
      </c>
      <c r="AK31" s="1117">
        <f t="shared" si="13"/>
        <v>10554</v>
      </c>
      <c r="AL31" s="1117">
        <f t="shared" si="13"/>
        <v>0</v>
      </c>
      <c r="AM31" s="1130">
        <f t="shared" si="13"/>
        <v>0</v>
      </c>
      <c r="AN31" s="1120">
        <f>IF(ISNUMBER(Datos!K31/Datos!J31),Datos!K31/Datos!J31," - ")</f>
        <v>1.0297136376523959</v>
      </c>
      <c r="AO31" s="1120">
        <f>IF(ISNUMBER(FIND("06",Criterios!A8,1)),(IF(ISNUMBER(((Datos!R31/Datos!Q31)*11)/factor_trimestre),((Datos!R31/Datos!Q31)*11)/factor_trimestre," - ")),(IF(ISNUMBER(((Datos!L31/Datos!K31)*11)/factor_trimestre),((Datos!L31/Datos!K31)*11)/factor_trimestre," - ")))</f>
        <v>2.8840244506856103</v>
      </c>
      <c r="AP31" s="1131" t="str">
        <f>IF(ISNUMBER(Datos!CI31/Datos!CJ31),Datos!CI31/Datos!CJ31," - ")</f>
        <v xml:space="preserve"> - </v>
      </c>
      <c r="AQ31" s="1131">
        <f>IF(OR(ISNUMBER(FIND("01",Criterios!A8,1)),ISNUMBER(FIND("02",Criterios!A8,1)),ISNUMBER(FIND("03",Criterios!A8,1)),ISNUMBER(FIND("04",Criterios!A8,1))),(J31-Y31+K31)/(F31-K31),(I31-Y31+K31)/(F31-K31))</f>
        <v>-2.4606793857608191</v>
      </c>
      <c r="AR31" s="1131">
        <f>IF(ISNUMBER((Datos!P31-Datos!Q31+O31)/(Datos!R31-Datos!P31+Datos!Q31-O31)),(Datos!P31-Datos!Q31+O31)/(Datos!R31-Datos!P31+Datos!Q31-O31)," - ")</f>
        <v>-8.0729573504139979E-2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1272.5714285714287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2072.5345513806678</v>
      </c>
      <c r="G33" s="674">
        <f>IF(ISNUMBER(STDEV(G8:G30)),STDEV(G8:G30),"-")</f>
        <v>1958.5657045520886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819.02418225050667</v>
      </c>
      <c r="AK33" s="276"/>
      <c r="AL33" s="276">
        <f>IF(ISNUMBER(STDEV(AL8:AL30)),STDEV(AL8:AL30),"-")</f>
        <v>0</v>
      </c>
      <c r="AM33" s="278">
        <f>IF(ISNUMBER(STDEV(AM8:AM30)),STDEV(AM8:AM30),"-")</f>
        <v>0</v>
      </c>
      <c r="AN33" s="660">
        <f>IF(ISNUMBER(STDEV(AN8:AN30)),STDEV(AN8:AN30),"-")</f>
        <v>0</v>
      </c>
      <c r="AO33" s="661">
        <f>IF(ISNUMBER(STDEV(AO8:AO30)),STDEV(AO8:AO30),"-")</f>
        <v>2.0639263847982212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h9AuhFOAoLIh3ED/a0th4do9o03J8tBCP+9PUA/HDBlhABQ9I9UlE+RjP2tz66kNknbZ/zhUEq4e15szMaJlrQ==" saltValue="VkLSPZ/PJGnQ1FU+uV58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dDLVm1nYEu9NsFxuhaQm5Fft/Cz496Y/v1VQaIXiElnJbWqb2Fz2X+6Uymrt7yXHaY2+jZ0ihOLlkeRKJogpw==" saltValue="9wdgmV3mW0ku/HrcmLIA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NLzSPTvS/nNEGZjLRWsQ0twDGT93lOwe2zpOj11Kpr9yuOBjeLRyYg3jdON7OyovM31toD6hOIxB1pf/Jybxg==" saltValue="sqi9BlNMYpah6pI6jHt6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GRANADA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0.25509237328280437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0.18037754697724107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pWpVkd1XK+AAusf6MVEWJHxE3k9n6bfoZHlcvFAN1WZkaX/M+N0LMVljbF/ihOyhQ00U2mOWWQ80QCtpWL5Ucw==" saltValue="2xLLkrQPVyFhv0GS5stL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uHv8r6HPclwWEhEGyFJW5uy9IBGI6yNq+tY+0yfSytLNeavH/raGqsmrGsZeYiSgcyFkevo3OTlY81i0t05kg==" saltValue="qh+Z/n1O/vxZStAL6DsT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GRANADA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16</v>
      </c>
      <c r="C9" s="451">
        <f>IF(ISNUMBER(IF(J_V="SI",Datos!I9,Datos!I9+Datos!Y9)),IF(J_V="SI",Datos!I9,Datos!I9+Datos!Y9)," - ")</f>
        <v>11800</v>
      </c>
      <c r="D9" s="452">
        <f>IF(ISNUMBER(C9/Datos!BH9),C9/Datos!BH9," - ")</f>
        <v>737.5</v>
      </c>
      <c r="E9" s="451">
        <f>IF(ISNUMBER(IF(J_V="SI",Datos!J9,Datos!J9+Datos!Z9)),IF(J_V="SI",Datos!J9,Datos!J9+Datos!Z9)," - ")</f>
        <v>6762</v>
      </c>
      <c r="F9" s="452">
        <f>IF(ISNUMBER(E9/B9),E9/B9," - ")</f>
        <v>422.625</v>
      </c>
      <c r="G9" s="451">
        <f>IF(ISNUMBER(IF(J_V="SI",Datos!K9,Datos!K9+Datos!AA9)),IF(J_V="SI",Datos!K9,Datos!K9+Datos!AA9)," - ")</f>
        <v>7496</v>
      </c>
      <c r="H9" s="452">
        <f>IF(ISNUMBER(G9/B9),G9/B9," - ")</f>
        <v>468.5</v>
      </c>
      <c r="I9" s="451">
        <f>IF(ISNUMBER(IF(J_V="SI",Datos!L9,Datos!L9+Datos!AB9)),IF(J_V="SI",Datos!L9,Datos!L9+Datos!AB9)," - ")</f>
        <v>12000</v>
      </c>
      <c r="J9" s="452">
        <f>IF(ISNUMBER(I9/B9),I9/B9," - ")</f>
        <v>750</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192</v>
      </c>
      <c r="D10" s="452">
        <f>IF(ISNUMBER(C10/Datos!BH10),C10/Datos!BH10," - ")</f>
        <v>96</v>
      </c>
      <c r="E10" s="451">
        <f>IF(ISNUMBER(Datos!J10),Datos!J10," - ")</f>
        <v>113</v>
      </c>
      <c r="F10" s="452">
        <f>IF(ISNUMBER(E10/B10),E10/B10," - ")</f>
        <v>56.5</v>
      </c>
      <c r="G10" s="451">
        <f>IF(ISNUMBER(Datos!K10),Datos!K10," - ")</f>
        <v>101</v>
      </c>
      <c r="H10" s="452">
        <f>IF(ISNUMBER(G10/B10),G10/B10," - ")</f>
        <v>50.5</v>
      </c>
      <c r="I10" s="451">
        <f>IF(ISNUMBER(Datos!L10),Datos!L10," - ")</f>
        <v>204</v>
      </c>
      <c r="J10" s="452">
        <f>IF(ISNUMBER(I10/B10),I10/B10," - ")</f>
        <v>102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1187</v>
      </c>
      <c r="D11" s="452">
        <f>IF(ISNUMBER(C11/Datos!BH11),C11/Datos!BH11," - ")</f>
        <v>395.66666666666669</v>
      </c>
      <c r="E11" s="451">
        <f>IF(ISNUMBER(IF(J_V="SI",Datos!J11,Datos!J11+Datos!Z11)),IF(J_V="SI",Datos!J11,Datos!J11+Datos!Z11)," - ")</f>
        <v>852</v>
      </c>
      <c r="F11" s="452">
        <f>IF(ISNUMBER(E11/B11),E11/B11," - ")</f>
        <v>284</v>
      </c>
      <c r="G11" s="451">
        <f>IF(ISNUMBER(IF(J_V="SI",Datos!K11,Datos!K11+Datos!AA11)),IF(J_V="SI",Datos!K11,Datos!K11+Datos!AA11)," - ")</f>
        <v>847</v>
      </c>
      <c r="H11" s="452">
        <f>IF(ISNUMBER(G11/B11),G11/B11," - ")</f>
        <v>282.33333333333331</v>
      </c>
      <c r="I11" s="451">
        <f>IF(ISNUMBER(IF(J_V="SI",Datos!L11,Datos!L11+Datos!AB11)),IF(J_V="SI",Datos!L11,Datos!L11+Datos!AB11)," - ")</f>
        <v>1192</v>
      </c>
      <c r="J11" s="452">
        <f>IF(ISNUMBER(I11/B11),I11/B11," - ")</f>
        <v>397.33333333333331</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21</v>
      </c>
      <c r="C14" s="1146">
        <f>SUBTOTAL(9,C8:C13)</f>
        <v>13179</v>
      </c>
      <c r="D14" s="1147" t="str">
        <f>IF(ISNUMBER(C14/Datos!BI14),C14/Datos!BI14," - ")</f>
        <v xml:space="preserve"> - </v>
      </c>
      <c r="E14" s="1146">
        <f>SUBTOTAL(9,E8:E13)</f>
        <v>7727</v>
      </c>
      <c r="F14" s="1147">
        <f>IF(ISNUMBER(E14/B14),E14/B14," - ")</f>
        <v>367.95238095238096</v>
      </c>
      <c r="G14" s="1146">
        <f>SUBTOTAL(9,G8:G13)</f>
        <v>8444</v>
      </c>
      <c r="H14" s="1147">
        <f>IF(ISNUMBER(G14/B14),G14/B14," - ")</f>
        <v>402.09523809523807</v>
      </c>
      <c r="I14" s="1146">
        <f>SUBTOTAL(9,I8:I13)</f>
        <v>13396</v>
      </c>
      <c r="J14" s="1147">
        <f>IF(ISNUMBER(I14/B14),I14/B14," - ")</f>
        <v>637.90476190476193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9</v>
      </c>
      <c r="C16" s="451">
        <f>IF(ISNUMBER(IF(D_I="SI",Datos!I16,Datos!I16+Datos!AC16)),IF(D_I="SI",Datos!I16,Datos!I16+Datos!AC16)," - ")</f>
        <v>4006</v>
      </c>
      <c r="D16" s="452">
        <f>IF(ISNUMBER(C16/Datos!BH16),C16/Datos!BH16," - ")</f>
        <v>445.11111111111109</v>
      </c>
      <c r="E16" s="451">
        <f>IF(ISNUMBER(IF(D_I="SI",Datos!J16,Datos!J16+Datos!AD16)),IF(D_I="SI",Datos!J16,Datos!J16+Datos!AD16)," - ")</f>
        <v>9840</v>
      </c>
      <c r="F16" s="452">
        <f>IF(ISNUMBER(E16/B16),E16/B16," - ")</f>
        <v>1093.3333333333333</v>
      </c>
      <c r="G16" s="451">
        <f>IF(ISNUMBER(IF(D_I="SI",Datos!K16,Datos!K16+Datos!AE16)),IF(D_I="SI",Datos!K16,Datos!K16+Datos!AE16)," - ")</f>
        <v>9713</v>
      </c>
      <c r="H16" s="452">
        <f>IF(ISNUMBER(G16/B16),G16/B16," - ")</f>
        <v>1079.2222222222222</v>
      </c>
      <c r="I16" s="451">
        <f>IF(ISNUMBER(IF(D_I="SI",Datos!L16,Datos!L16+Datos!AF16)),IF(D_I="SI",Datos!L16,Datos!L16+Datos!AF16)," - ")</f>
        <v>4233</v>
      </c>
      <c r="J16" s="452">
        <f>IF(ISNUMBER(I16/B16),I16/B16," - ")</f>
        <v>470.33333333333331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256</v>
      </c>
      <c r="D18" s="452">
        <f>IF(ISNUMBER(C18/Datos!BH18),C18/Datos!BH18," - ")</f>
        <v>128</v>
      </c>
      <c r="E18" s="451">
        <f>IF(ISNUMBER(IF(D_I="SI",Datos!J18,Datos!J18+Datos!AD18)),IF(D_I="SI",Datos!J18,Datos!J18+Datos!AD18)," - ")</f>
        <v>785</v>
      </c>
      <c r="F18" s="452">
        <f>IF(ISNUMBER(E18/B18),E18/B18," - ")</f>
        <v>392.5</v>
      </c>
      <c r="G18" s="451">
        <f>IF(ISNUMBER(IF(D_I="SI",Datos!K18,Datos!K18+Datos!AE18)),IF(D_I="SI",Datos!K18,Datos!K18+Datos!AE18)," - ")</f>
        <v>762</v>
      </c>
      <c r="H18" s="452">
        <f>IF(ISNUMBER(G18/B18),G18/B18," - ")</f>
        <v>381</v>
      </c>
      <c r="I18" s="451">
        <f>IF(ISNUMBER(IF(D_I="SI",Datos!L18,Datos!L18+Datos!AF18)),IF(D_I="SI",Datos!L18,Datos!L18+Datos!AF18)," - ")</f>
        <v>285</v>
      </c>
      <c r="J18" s="452">
        <f>IF(ISNUMBER(I18/B18),I18/B18," - ")</f>
        <v>142.5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11</v>
      </c>
      <c r="C23" s="1146">
        <f>SUBTOTAL(9,C15:C22)</f>
        <v>4262</v>
      </c>
      <c r="D23" s="1147" t="str">
        <f>IF(ISNUMBER(C23/Datos!BI23),C23/Datos!BI23," - ")</f>
        <v xml:space="preserve"> - </v>
      </c>
      <c r="E23" s="1146">
        <f>SUBTOTAL(9,E15:E22)</f>
        <v>10625</v>
      </c>
      <c r="F23" s="1147">
        <f>IF(ISNUMBER(E23/B23),E23/B23," - ")</f>
        <v>965.90909090909088</v>
      </c>
      <c r="G23" s="1146">
        <f>SUBTOTAL(9,G15:G22)</f>
        <v>10475</v>
      </c>
      <c r="H23" s="1147">
        <f>IF(ISNUMBER(G23/B23),G23/B23," - ")</f>
        <v>952.27272727272725</v>
      </c>
      <c r="I23" s="1146">
        <f>SUBTOTAL(9,I15:I22)</f>
        <v>4518</v>
      </c>
      <c r="J23" s="1147">
        <f>IF(ISNUMBER(I23/B23),I23/B23," - ")</f>
        <v>410.72727272727275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30</v>
      </c>
      <c r="C31" s="1084">
        <f>SUBTOTAL(9,C9:C30)</f>
        <v>17441</v>
      </c>
      <c r="D31" s="1085" t="str">
        <f>IF(ISNUMBER(C31/Datos!BI31),C31/Datos!BI31," - ")</f>
        <v xml:space="preserve"> - </v>
      </c>
      <c r="E31" s="1084">
        <f>SUBTOTAL(9,E9:E30)</f>
        <v>18352</v>
      </c>
      <c r="F31" s="1085">
        <f>IF(ISNUMBER(E31/B31),E31/B31," - ")</f>
        <v>611.73333333333335</v>
      </c>
      <c r="G31" s="1084">
        <f>SUBTOTAL(9,G9:G30)</f>
        <v>18919</v>
      </c>
      <c r="H31" s="1085">
        <f>IF(ISNUMBER(G31/B31),G31/B31," - ")</f>
        <v>630.63333333333333</v>
      </c>
      <c r="I31" s="1084">
        <f>SUBTOTAL(9,I9:I30)</f>
        <v>17914</v>
      </c>
      <c r="J31" s="1085">
        <f>IF(ISNUMBER(I31/B31),I31/B31," - ")</f>
        <v>597.13333333333333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9IPxaeG/LaS+WEsleBzeEpCUSY0sY2NV3DvMSWlIwH5NoG7fgHUXZ+Lb+awt92p50R/zOsgfvhqLKfaEfShbQ==" saltValue="1JYeh6EvE6zzpd92iVIoj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GRANADA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16</v>
      </c>
      <c r="B9" s="745" t="s">
        <v>321</v>
      </c>
      <c r="C9" s="765" t="str">
        <f>Datos!A9</f>
        <v xml:space="preserve">Jdos. 1ª Instancia   </v>
      </c>
      <c r="D9" s="593"/>
      <c r="E9" s="904">
        <f>IF(ISNUMBER(Datos!AQ9),Datos!AQ9," - ")</f>
        <v>16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192</v>
      </c>
      <c r="G10" s="906">
        <f>IF(ISNUMBER(Datos!I10),Datos!I10," - ")</f>
        <v>192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101</v>
      </c>
      <c r="AC10" s="905" t="str">
        <f>IF(ISNUMBER(IF(D_I="SI",DatosP!K18,DatosP!K18+DatosP!AE18)),IF(D_I="SI",DatosP!K18,DatosP!K18+DatosP!AE18)," - ")</f>
        <v xml:space="preserve"> - </v>
      </c>
      <c r="AD10" s="907"/>
      <c r="AE10" s="907"/>
      <c r="AF10" s="910">
        <f>IF(ISNUMBER(Datos!L10),Datos!L10,"-")</f>
        <v>204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47</v>
      </c>
      <c r="AM10" s="914">
        <f>IF(ISNUMBER(Datos!N10+DatosP!N18),Datos!N10+DatosP!N18," - ")</f>
        <v>43</v>
      </c>
      <c r="AN10" s="914">
        <f>IF(ISNUMBER(Datos!BW10+DatosP!BW18),Datos!BW10+DatosP!BW18," - ")</f>
        <v>0</v>
      </c>
      <c r="AO10" s="915">
        <f>IF(ISNUMBER(Datos!BX10+DatosP!BX18),Datos!BX10+DatosP!BX18," - ")</f>
        <v>0</v>
      </c>
      <c r="AP10" s="917">
        <f>IF(ISNUMBER(((Datos!L10/Datos!K10)*11)/factor_trimestre),((Datos!L10/Datos!K10)*11)/factor_trimestre," - ")</f>
        <v>6.0594059405940603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21</v>
      </c>
      <c r="F14" s="1256">
        <f t="shared" si="0"/>
        <v>192</v>
      </c>
      <c r="G14" s="1256">
        <f t="shared" si="0"/>
        <v>192</v>
      </c>
      <c r="H14" s="1256">
        <f t="shared" si="0"/>
        <v>0</v>
      </c>
      <c r="I14" s="1258">
        <f t="shared" si="0"/>
        <v>0</v>
      </c>
      <c r="J14" s="1257">
        <f t="shared" si="0"/>
        <v>0</v>
      </c>
      <c r="K14" s="1257">
        <f t="shared" si="0"/>
        <v>0</v>
      </c>
      <c r="L14" s="1259">
        <f t="shared" si="0"/>
        <v>0</v>
      </c>
      <c r="M14" s="1259">
        <f t="shared" si="0"/>
        <v>0</v>
      </c>
      <c r="N14" s="1257">
        <f t="shared" si="0"/>
        <v>31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101</v>
      </c>
      <c r="AC14" s="1257">
        <f t="shared" si="1"/>
        <v>0</v>
      </c>
      <c r="AD14" s="1257">
        <f t="shared" si="1"/>
        <v>0</v>
      </c>
      <c r="AE14" s="1257">
        <f t="shared" si="1"/>
        <v>0</v>
      </c>
      <c r="AF14" s="1257">
        <f t="shared" si="1"/>
        <v>204</v>
      </c>
      <c r="AG14" s="1257">
        <f t="shared" si="1"/>
        <v>0</v>
      </c>
      <c r="AH14" s="1257">
        <f t="shared" si="1"/>
        <v>0</v>
      </c>
      <c r="AI14" s="1257">
        <f t="shared" si="1"/>
        <v>0</v>
      </c>
      <c r="AJ14" s="1257">
        <f t="shared" si="1"/>
        <v>0</v>
      </c>
      <c r="AK14" s="1257">
        <f t="shared" si="1"/>
        <v>0</v>
      </c>
      <c r="AL14" s="1257">
        <f t="shared" si="1"/>
        <v>47</v>
      </c>
      <c r="AM14" s="1257">
        <f t="shared" si="1"/>
        <v>43</v>
      </c>
      <c r="AN14" s="1257">
        <f t="shared" si="1"/>
        <v>0</v>
      </c>
      <c r="AO14" s="1257">
        <f t="shared" si="1"/>
        <v>0</v>
      </c>
      <c r="AP14" s="1262">
        <f>IF(ISNUMBER(((Datos!L14/Datos!K14)*11)/factor_trimestre),((Datos!L14/Datos!K14)*11)/factor_trimestre," - ")</f>
        <v>5.0516657990629881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-0.52604166666666663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9</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1.2939379474940333</v>
      </c>
      <c r="AQ23" s="1262">
        <f>IF(ISNUMBER(((Datos!M23/Datos!L23)*11)/factor_trimestre),((Datos!M23/Datos!L23)*11)/factor_trimestre," - ")</f>
        <v>0.7841965471447544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4.5614035087719301E-2</v>
      </c>
      <c r="AW23" s="1265">
        <f>IF(ISNUMBER((Datos!Q23-Datos!R23)/(Datos!S23-Datos!Q23+Datos!R23)),(Datos!Q23-Datos!R23)/(Datos!S23-Datos!Q23+Datos!R23)," - ")</f>
        <v>-8.5302965191233343E-2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21</v>
      </c>
      <c r="F31" s="1278">
        <f t="shared" si="8"/>
        <v>192</v>
      </c>
      <c r="G31" s="1278">
        <f t="shared" si="8"/>
        <v>192</v>
      </c>
      <c r="H31" s="1278">
        <f t="shared" si="8"/>
        <v>0</v>
      </c>
      <c r="I31" s="1279">
        <f t="shared" si="8"/>
        <v>0</v>
      </c>
      <c r="J31" s="1280">
        <f t="shared" si="8"/>
        <v>0</v>
      </c>
      <c r="K31" s="1280">
        <f t="shared" si="8"/>
        <v>0</v>
      </c>
      <c r="L31" s="1280">
        <f t="shared" si="8"/>
        <v>0</v>
      </c>
      <c r="M31" s="1280">
        <f t="shared" si="8"/>
        <v>0</v>
      </c>
      <c r="N31" s="1279">
        <f t="shared" si="8"/>
        <v>31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101</v>
      </c>
      <c r="AC31" s="1284">
        <f t="shared" si="9"/>
        <v>0</v>
      </c>
      <c r="AD31" s="1284">
        <f t="shared" si="9"/>
        <v>0</v>
      </c>
      <c r="AE31" s="1284">
        <f t="shared" si="9"/>
        <v>0</v>
      </c>
      <c r="AF31" s="1285">
        <f t="shared" si="9"/>
        <v>204</v>
      </c>
      <c r="AG31" s="1285">
        <f t="shared" si="9"/>
        <v>0</v>
      </c>
      <c r="AH31" s="1285">
        <f t="shared" si="9"/>
        <v>0</v>
      </c>
      <c r="AI31" s="1285">
        <f t="shared" si="9"/>
        <v>0</v>
      </c>
      <c r="AJ31" s="1286">
        <f t="shared" si="9"/>
        <v>0</v>
      </c>
      <c r="AK31" s="1286">
        <f t="shared" si="9"/>
        <v>0</v>
      </c>
      <c r="AL31" s="1278">
        <f t="shared" si="9"/>
        <v>47</v>
      </c>
      <c r="AM31" s="1278">
        <f t="shared" si="9"/>
        <v>43</v>
      </c>
      <c r="AN31" s="1278">
        <f t="shared" si="9"/>
        <v>0</v>
      </c>
      <c r="AO31" s="1278">
        <f t="shared" si="9"/>
        <v>0</v>
      </c>
      <c r="AP31" s="1278">
        <f>IF(ISNUMBER(((Datos!L31/Datos!K31)*11)/factor_trimestre),((Datos!L31/Datos!K31)*11)/factor_trimestre," - ")</f>
        <v>2.8840244506856103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-0.52604166666666663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-8.0729573504139979E-2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8.0156097709406993</v>
      </c>
      <c r="F33" s="1006">
        <f>IF(ISNUMBER(STDEV(F8:F30)),STDEV(F8:F30),"-")</f>
        <v>105.1627310409919</v>
      </c>
      <c r="G33" s="1007">
        <f>IF(ISNUMBER(STDEV(G8:G30)),STDEV(G8:G30),"-")</f>
        <v>105.1627310409919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55.319978308021781</v>
      </c>
      <c r="AC33" s="1008">
        <f>IF(ISNUMBER(STDEV(AC8:AC30)),STDEV(AC8:AC30),"-")</f>
        <v>0</v>
      </c>
      <c r="AD33" s="1011"/>
      <c r="AE33" s="1011"/>
      <c r="AF33" s="1011"/>
      <c r="AG33" s="1011"/>
      <c r="AH33" s="1011"/>
      <c r="AI33" s="1011"/>
      <c r="AJ33" s="1012">
        <f>IF(ISNUMBER(STDEV(AJ8:AJ30)),STDEV(AJ8:AJ30),"-")</f>
        <v>0</v>
      </c>
      <c r="AK33" s="1014"/>
      <c r="AL33" s="1006">
        <f>IF(ISNUMBER(STDEV(AL8:AL30)),STDEV(AL8:AL30),"-")</f>
        <v>25.742960202742807</v>
      </c>
      <c r="AM33" s="1006"/>
      <c r="AN33" s="1006">
        <f>IF(ISNUMBER(STDEV(AN8:AN30)),STDEV(AN8:AN30),"-")</f>
        <v>0</v>
      </c>
      <c r="AO33" s="1012">
        <f>IF(ISNUMBER(STDEV(AO8:AO30)),STDEV(AO8:AO30),"-")</f>
        <v>0</v>
      </c>
      <c r="AP33" s="1065">
        <f>IF(ISNUMBER(STDEV(AP8:AP30)),STDEV(AP8:AP30),"-")</f>
        <v>2.5114983573082053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0mKL6hIWbrwETplMjAL1X0vkcuu2f6HVV1z0rPiXW5Pft9B6QwmR2CUBUD5JWwi0tIRjbFu9VSjbUm8UBJZp4w==" saltValue="sPXaXKD4Wq/cRLa8+PUP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GRANADA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16</v>
      </c>
      <c r="D9" s="451">
        <f>Datos!BK9</f>
        <v>0</v>
      </c>
      <c r="E9" s="451">
        <f>Datos!AQ9</f>
        <v>16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9</v>
      </c>
      <c r="D16" s="451">
        <f>Datos!BK16</f>
        <v>0</v>
      </c>
      <c r="E16" s="451">
        <f>Datos!AQ16</f>
        <v>9</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cMuviH38A/mqzHJpc0gHSUdHSHENCW7B6hklEOErHFUNFhEEOsH+gnu6qL8jxm3VNisiqAD3t5sjTIo0DzCcQ==" saltValue="BXAG9PECWM3OyumSWL+Iv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GRANADA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16</v>
      </c>
      <c r="C9" s="458">
        <f>Datos!AQ9</f>
        <v>16</v>
      </c>
      <c r="D9" s="451">
        <f>IF(ISNUMBER(Datos!M9),Datos!M9," - ")</f>
        <v>1734</v>
      </c>
      <c r="E9" s="452">
        <f t="shared" ref="E9:E14" si="0">IF(ISNUMBER(D9/B9),D9/B9," - ")</f>
        <v>108.375</v>
      </c>
      <c r="F9" s="451">
        <f>IF(ISNUMBER(Datos!N9),Datos!N9," - ")</f>
        <v>2950</v>
      </c>
      <c r="G9" s="452">
        <f t="shared" ref="G9:G14" si="1">IF(ISNUMBER(F9/B9),F9/B9," - ")</f>
        <v>184.375</v>
      </c>
      <c r="H9" s="451">
        <f>IF(ISNUMBER(Datos!O9),Datos!O9," - ")</f>
        <v>3603</v>
      </c>
      <c r="I9" s="452">
        <f>IF(ISNUMBER(H9/B9),H9/B9," - ")</f>
        <v>225.1875</v>
      </c>
    </row>
    <row r="10" spans="1:9">
      <c r="A10" s="450" t="str">
        <f>Datos!A10</f>
        <v>Jdos. Violencia contra la mujer</v>
      </c>
      <c r="B10" s="480">
        <f>Datos!AO10</f>
        <v>2</v>
      </c>
      <c r="C10" s="458">
        <f>Datos!AQ10</f>
        <v>2</v>
      </c>
      <c r="D10" s="451">
        <f>IF(ISNUMBER(Datos!M10),Datos!M10," - ")</f>
        <v>47</v>
      </c>
      <c r="E10" s="452">
        <f>IF(ISNUMBER(D10/B10),D10/B10," - ")</f>
        <v>23.5</v>
      </c>
      <c r="F10" s="451">
        <f>IF(ISNUMBER(Datos!N10),Datos!N10," - ")</f>
        <v>43</v>
      </c>
      <c r="G10" s="452">
        <f>IF(ISNUMBER(F10/B10),F10/B10," - ")</f>
        <v>21.5</v>
      </c>
      <c r="H10" s="451">
        <f>IF(ISNUMBER(Datos!O10),Datos!O10," - ")</f>
        <v>38</v>
      </c>
      <c r="I10" s="452">
        <f t="shared" ref="I10:I13" si="2">IF(ISNUMBER(H10/B10),H10/B10," - ")</f>
        <v>19</v>
      </c>
    </row>
    <row r="11" spans="1:9">
      <c r="A11" s="450" t="str">
        <f>Datos!A11</f>
        <v xml:space="preserve">Jdos. Familia                                   </v>
      </c>
      <c r="B11" s="480">
        <f>Datos!AO11</f>
        <v>3</v>
      </c>
      <c r="C11" s="458">
        <f>Datos!AQ11</f>
        <v>3</v>
      </c>
      <c r="D11" s="451">
        <f>IF(ISNUMBER(Datos!M11),Datos!M11," - ")</f>
        <v>373</v>
      </c>
      <c r="E11" s="452">
        <f t="shared" si="0"/>
        <v>124.33333333333333</v>
      </c>
      <c r="F11" s="451">
        <f>IF(ISNUMBER(Datos!N11),Datos!N11," - ")</f>
        <v>256</v>
      </c>
      <c r="G11" s="452">
        <f t="shared" si="1"/>
        <v>85.333333333333329</v>
      </c>
      <c r="H11" s="451">
        <f>IF(ISNUMBER(Datos!O11),Datos!O11," - ")</f>
        <v>302</v>
      </c>
      <c r="I11" s="452">
        <f t="shared" si="2"/>
        <v>100.66666666666667</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21</v>
      </c>
      <c r="C14" s="1148">
        <f>Datos!AR14</f>
        <v>21</v>
      </c>
      <c r="D14" s="1146">
        <f>SUBTOTAL(9,D9:D13)</f>
        <v>2154</v>
      </c>
      <c r="E14" s="1147">
        <f t="shared" si="0"/>
        <v>102.57142857142857</v>
      </c>
      <c r="F14" s="1146">
        <f>SUBTOTAL(9,F9:F13)</f>
        <v>3249</v>
      </c>
      <c r="G14" s="1147">
        <f t="shared" si="1"/>
        <v>154.71428571428572</v>
      </c>
      <c r="H14" s="1146">
        <f>SUBTOTAL(9,H9:H13)</f>
        <v>3943</v>
      </c>
      <c r="I14" s="1147">
        <f>IF(ISNUMBER(H14/B14),H14/B14," - ")</f>
        <v>187.76190476190476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9</v>
      </c>
      <c r="C16" s="481">
        <f>Datos!AQ16</f>
        <v>9</v>
      </c>
      <c r="D16" s="451">
        <f>IF(ISNUMBER(Datos!M16),Datos!M16," - ")</f>
        <v>1054</v>
      </c>
      <c r="E16" s="452">
        <f t="shared" ref="E16:E23" si="3">IF(ISNUMBER(D16/B16),D16/B16," - ")</f>
        <v>117.11111111111111</v>
      </c>
      <c r="F16" s="451">
        <f>IF(ISNUMBER(Datos!N16),Datos!N16," - ")</f>
        <v>6770</v>
      </c>
      <c r="G16" s="452">
        <f t="shared" ref="G16:G23" si="4">IF(ISNUMBER(F16/B16),F16/B16," - ")</f>
        <v>752.22222222222217</v>
      </c>
      <c r="H16" s="451">
        <f>IF(ISNUMBER(Datos!O16),Datos!O16," - ")</f>
        <v>324</v>
      </c>
      <c r="I16" s="452">
        <f t="shared" ref="I16:I22" si="5">IF(ISNUMBER(H16/B16),H16/B16," - ")</f>
        <v>36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127</v>
      </c>
      <c r="E18" s="452">
        <f>IF(ISNUMBER(D18/B18),D18/B18," - ")</f>
        <v>63.5</v>
      </c>
      <c r="F18" s="451">
        <f>IF(ISNUMBER(Datos!N18),Datos!N18," - ")</f>
        <v>535</v>
      </c>
      <c r="G18" s="452">
        <f>IF(ISNUMBER(F18/B18),F18/B18," - ")</f>
        <v>267.5</v>
      </c>
      <c r="H18" s="451">
        <f>IF(ISNUMBER(Datos!O18),Datos!O18," - ")</f>
        <v>49</v>
      </c>
      <c r="I18" s="452">
        <f t="shared" si="5"/>
        <v>24.5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11</v>
      </c>
      <c r="C23" s="1148">
        <f>Datos!AR23</f>
        <v>11</v>
      </c>
      <c r="D23" s="1146">
        <f>SUBTOTAL(9,D16:D22)</f>
        <v>1181</v>
      </c>
      <c r="E23" s="1147">
        <f t="shared" si="3"/>
        <v>107.36363636363636</v>
      </c>
      <c r="F23" s="1146">
        <f>SUBTOTAL(9,F16:F22)</f>
        <v>7305</v>
      </c>
      <c r="G23" s="1147">
        <f t="shared" si="4"/>
        <v>664.09090909090912</v>
      </c>
      <c r="H23" s="1146">
        <f>SUBTOTAL(9,H16:H22)</f>
        <v>373</v>
      </c>
      <c r="I23" s="1147">
        <f>IF(ISNUMBER(H23/B23),H23/B23," - ")</f>
        <v>33.909090909090907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30</v>
      </c>
      <c r="C31" s="1084">
        <f>Datos!AR31</f>
        <v>30</v>
      </c>
      <c r="D31" s="1084">
        <f>SUBTOTAL(9,D8:D30)</f>
        <v>3335</v>
      </c>
      <c r="E31" s="1085">
        <f>IF(ISNUMBER(D31/B31),D31/B31," - ")</f>
        <v>111.16666666666667</v>
      </c>
      <c r="F31" s="1084">
        <f>SUBTOTAL(9,F8:F30)</f>
        <v>10554</v>
      </c>
      <c r="G31" s="1085">
        <f>IF(ISNUMBER(F31/B31),F31/B31," - ")</f>
        <v>351.8</v>
      </c>
      <c r="H31" s="1084">
        <f>SUBTOTAL(9,H8:H30)</f>
        <v>4316</v>
      </c>
      <c r="I31" s="1085">
        <f>IF(ISNUMBER(H31/B31),H31/B31," - ")</f>
        <v>143.86666666666667</v>
      </c>
    </row>
    <row r="34" spans="1:1">
      <c r="A34" s="439" t="str">
        <f>Criterios!A4</f>
        <v>Fecha Informe: 05 may. 2023</v>
      </c>
    </row>
    <row r="39" spans="1:1">
      <c r="A39" s="462"/>
    </row>
  </sheetData>
  <sheetProtection algorithmName="SHA-512" hashValue="uTSzxQ0KsjCmildPMBN8lsXAJ40o+4a1jSWlDaEJwcIC9eN5tHwiNuJaCrtiBoK2rms46+jRYcBrS9DomwaF+Q==" saltValue="g4qvoXNE/mgdOOJrP5LZ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GRANADA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1432</v>
      </c>
      <c r="C9" s="489">
        <f>IF(ISNUMBER(Datos!Q9),Datos!Q9," - ")</f>
        <v>3528</v>
      </c>
      <c r="D9" s="456">
        <f>IF(ISNUMBER(Datos!R9),Datos!R9," - ")</f>
        <v>21138</v>
      </c>
    </row>
    <row r="10" spans="1:4">
      <c r="A10" s="450" t="str">
        <f>Datos!A10</f>
        <v>Jdos. Violencia contra la mujer</v>
      </c>
      <c r="B10" s="488">
        <f>IF(ISNUMBER(Datos!P10),Datos!P10," - ")</f>
        <v>31</v>
      </c>
      <c r="C10" s="489">
        <f>IF(ISNUMBER(Datos!Q10),Datos!Q10," - ")</f>
        <v>30</v>
      </c>
      <c r="D10" s="456">
        <f>IF(ISNUMBER(Datos!R10),Datos!R10," - ")</f>
        <v>197</v>
      </c>
    </row>
    <row r="11" spans="1:4">
      <c r="A11" s="450" t="str">
        <f>Datos!A11</f>
        <v xml:space="preserve">Jdos. Familia                                   </v>
      </c>
      <c r="B11" s="488">
        <f>IF(ISNUMBER(Datos!P11),Datos!P11," - ")</f>
        <v>125</v>
      </c>
      <c r="C11" s="489">
        <f>IF(ISNUMBER(Datos!Q11),Datos!Q11," - ")</f>
        <v>136</v>
      </c>
      <c r="D11" s="456">
        <f>IF(ISNUMBER(Datos!R11),Datos!R11," - ")</f>
        <v>1308</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1588</v>
      </c>
      <c r="C14" s="1150">
        <f>SUBTOTAL(9,C9:C13)</f>
        <v>3694</v>
      </c>
      <c r="D14" s="1148">
        <f>SUBTOTAL(9,D9:D13)</f>
        <v>22643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490</v>
      </c>
      <c r="C16" s="489">
        <f>IF(ISNUMBER(Datos!Q16),Datos!Q16," - ")</f>
        <v>448</v>
      </c>
      <c r="D16" s="456">
        <f>IF(ISNUMBER(Datos!R16),Datos!R16," - ")</f>
        <v>787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46</v>
      </c>
      <c r="C18" s="489">
        <f>IF(ISNUMBER(Datos!Q18),Datos!Q18," - ")</f>
        <v>49</v>
      </c>
      <c r="D18" s="456">
        <f>IF(ISNUMBER(Datos!R18),Datos!R18," - ")</f>
        <v>107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536</v>
      </c>
      <c r="C23" s="1150">
        <f>SUBTOTAL(9,C16:C22)</f>
        <v>497</v>
      </c>
      <c r="D23" s="1148">
        <f>SUBTOTAL(9,D16:D22)</f>
        <v>894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2124</v>
      </c>
      <c r="C31" s="1089">
        <f>SUBTOTAL(9,C8:C30)</f>
        <v>4191</v>
      </c>
      <c r="D31" s="1090">
        <f>SUBTOTAL(9,D8:D30)</f>
        <v>23537</v>
      </c>
    </row>
    <row r="32" spans="1:4" ht="7.5" customHeight="1"/>
    <row r="33" spans="1:1" ht="6" customHeight="1"/>
    <row r="34" spans="1:1">
      <c r="A34" s="439" t="str">
        <f>Criterios!A4</f>
        <v>Fecha Informe: 05 may. 2023</v>
      </c>
    </row>
    <row r="39" spans="1:1">
      <c r="A39" s="462"/>
    </row>
  </sheetData>
  <sheetProtection algorithmName="SHA-512" hashValue="vKzIWsmmg2wvNHJfomB5pk5CKJmD95AQBrsNmzveeXqvtk7HYPdXhV19xKtAS/zNJRLx562zlrF6OOPTmIwAaQ==" saltValue="7tKu1bzbQkQHMrqVwnLC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GRANADA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-0.22521339461588968</v>
      </c>
      <c r="C9" s="515">
        <f>IF(ISNUMBER(
   IF(J_V="SI",(Datos!J9-Datos!T9)/Datos!T9,(Datos!J9+Datos!Z9-(Datos!T9+Datos!AH9))/(Datos!T9+Datos!AH9))
     ),IF(J_V="SI",(Datos!J9-Datos!T9)/Datos!T9,(Datos!J9+Datos!Z9-(Datos!T9+Datos!AH9))/(Datos!T9+Datos!AH9))," - ")</f>
        <v>-3.6340316374519024E-2</v>
      </c>
      <c r="D9" s="515">
        <f>IF(ISNUMBER(
   IF(J_V="SI",(Datos!K9-Datos!U9)/Datos!U9,(Datos!K9+Datos!AA9-(Datos!U9+Datos!AI9))/(Datos!U9+Datos!AI9))
     ),IF(J_V="SI",(Datos!K9-Datos!U9)/Datos!U9,(Datos!K9+Datos!AA9-(Datos!U9+Datos!AI9))/(Datos!U9+Datos!AI9))," - ")</f>
        <v>-9.205426356589147E-2</v>
      </c>
      <c r="E9" s="515">
        <f>IF(ISNUMBER(
   IF(J_V="SI",(Datos!L9-Datos!V9)/Datos!V9,(Datos!L9+Datos!AB9-(Datos!V9+Datos!AJ9))/(Datos!V9+Datos!AJ9))
     ),IF(J_V="SI",(Datos!L9-Datos!V9)/Datos!V9,(Datos!L9+Datos!AB9-(Datos!V9+Datos!AJ9))/(Datos!V9+Datos!AJ9))," - ")</f>
        <v>-0.14230576799371025</v>
      </c>
      <c r="F9" s="515">
        <f>IF(ISNUMBER((Datos!M9-Datos!W9)/Datos!W9),(Datos!M9-Datos!W9)/Datos!W9," - ")</f>
        <v>-7.716870675891431E-2</v>
      </c>
      <c r="G9" s="516">
        <f>IF(ISNUMBER((Datos!N9-Datos!X9)/Datos!X9),(Datos!N9-Datos!X9)/Datos!X9," - ")</f>
        <v>-7.8700811992504685E-2</v>
      </c>
      <c r="H9" s="514">
        <f>IF(ISNUMBER(((NºAsuntos!G9/NºAsuntos!E9)-Datos!BD9)/Datos!BD9),((NºAsuntos!G9/NºAsuntos!E9)-Datos!BD9)/Datos!BD9," - ")</f>
        <v>-5.7814961171526347E-2</v>
      </c>
      <c r="I9" s="515">
        <f>IF(ISNUMBER(((NºAsuntos!I9/NºAsuntos!G9)-Datos!BE9)/Datos!BE9),((NºAsuntos!I9/NºAsuntos!G9)-Datos!BE9)/Datos!BE9," - ")</f>
        <v>-5.5346374140350992E-2</v>
      </c>
      <c r="J9" s="521">
        <f>IF(ISNUMBER((('Resol  Asuntos'!D9/NºAsuntos!G9)-Datos!BF9)/Datos!BF9),(('Resol  Asuntos'!D9/NºAsuntos!G9)-Datos!BF9)/Datos!BF9," - ")</f>
        <v>-0.40355847499261738</v>
      </c>
      <c r="K9" s="522">
        <f>IF(ISNUMBER((((NºAsuntos!C9+NºAsuntos!E9)/NºAsuntos!G9)-Datos!BG9)/Datos!BG9),(((NºAsuntos!C9+NºAsuntos!E9)/NºAsuntos!G9)-Datos!BG9)/Datos!BG9," - ")</f>
        <v>-8.1046746005205339E-2</v>
      </c>
    </row>
    <row r="10" spans="1:11">
      <c r="A10" s="450" t="str">
        <f>Datos!A10</f>
        <v>Jdos. Violencia contra la mujer</v>
      </c>
      <c r="B10" s="514">
        <f>IF(ISNUMBER((Datos!I10-Datos!S10)/Datos!S10),(Datos!I10-Datos!S10)/Datos!S10," - ")</f>
        <v>6.6666666666666666E-2</v>
      </c>
      <c r="C10" s="515">
        <f>IF(ISNUMBER((Datos!J10-Datos!T10)/Datos!T10),(Datos!J10-Datos!T10)/Datos!T10," - ")</f>
        <v>-0.13076923076923078</v>
      </c>
      <c r="D10" s="515">
        <f>IF(ISNUMBER((Datos!K10-Datos!U10)/Datos!U10),(Datos!K10-Datos!U10)/Datos!U10," - ")</f>
        <v>-0.2462686567164179</v>
      </c>
      <c r="E10" s="515">
        <f>IF(ISNUMBER((Datos!L10-Datos!V10)/Datos!V10),(Datos!L10-Datos!V10)/Datos!V10," - ")</f>
        <v>0.15909090909090909</v>
      </c>
      <c r="F10" s="515">
        <f>IF(ISNUMBER((Datos!M10-Datos!W10)/Datos!W10),(Datos!M10-Datos!W10)/Datos!W10," - ")</f>
        <v>-0.11320754716981132</v>
      </c>
      <c r="G10" s="516">
        <f>IF(ISNUMBER((Datos!N10-Datos!X10)/Datos!X10),(Datos!N10-Datos!X10)/Datos!X10," - ")</f>
        <v>-0.29508196721311475</v>
      </c>
      <c r="H10" s="514">
        <f>IF(ISNUMBER(((NºAsuntos!G10/NºAsuntos!E10)-Datos!BD10)/Datos!BD10),((NºAsuntos!G10/NºAsuntos!E10)-Datos!BD10)/Datos!BD10," - ")</f>
        <v>-0.13287544577994978</v>
      </c>
      <c r="I10" s="515">
        <f>IF(ISNUMBER(((NºAsuntos!I10/NºAsuntos!G10)-Datos!BE10)/Datos!BE10),((NºAsuntos!I10/NºAsuntos!G10)-Datos!BE10)/Datos!BE10," - ")</f>
        <v>0.53780378037803778</v>
      </c>
      <c r="J10" s="521">
        <f>IF(ISNUMBER((('Resol  Asuntos'!D10/NºAsuntos!G10)-Datos!BF10)/Datos!BF10),(('Resol  Asuntos'!D10/NºAsuntos!G10)-Datos!BF10)/Datos!BF10," - ")</f>
        <v>0.17653652157668612</v>
      </c>
      <c r="K10" s="522">
        <f>IF(ISNUMBER((((NºAsuntos!C10+NºAsuntos!E10)/NºAsuntos!G10)-Datos!BG10)/Datos!BG10),(((NºAsuntos!C10+NºAsuntos!E10)/NºAsuntos!G10)-Datos!BG10)/Datos!BG10," - ")</f>
        <v>0.30533375918236999</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-0.23812580231065469</v>
      </c>
      <c r="C11" s="515">
        <f>IF(ISNUMBER(
   IF(J_V="SI",(Datos!J11-Datos!T11)/Datos!T11,(Datos!J11+Datos!Z11-(Datos!T11+Datos!AH11))/(Datos!T11+Datos!AH11))
     ),IF(J_V="SI",(Datos!J11-Datos!T11)/Datos!T11,(Datos!J11+Datos!Z11-(Datos!T11+Datos!AH11))/(Datos!T11+Datos!AH11))," - ")</f>
        <v>-0.1419939577039275</v>
      </c>
      <c r="D11" s="515">
        <f>IF(ISNUMBER(
   IF(J_V="SI",(Datos!K11-Datos!U11)/Datos!U11,(Datos!K11+Datos!AA11-(Datos!U11+Datos!AI11))/(Datos!U11+Datos!AI11))
     ),IF(J_V="SI",(Datos!K11-Datos!U11)/Datos!U11,(Datos!K11+Datos!AA11-(Datos!U11+Datos!AI11))/(Datos!U11+Datos!AI11))," - ")</f>
        <v>-0.31803542673107893</v>
      </c>
      <c r="E11" s="515">
        <f>IF(ISNUMBER(
   IF(J_V="SI",(Datos!L11-Datos!V11)/Datos!V11,(Datos!L11+Datos!AB11-(Datos!V11+Datos!AJ11))/(Datos!V11+Datos!AJ11))
     ),IF(J_V="SI",(Datos!L11-Datos!V11)/Datos!V11,(Datos!L11+Datos!AB11-(Datos!V11+Datos!AJ11))/(Datos!V11+Datos!AJ11))," - ")</f>
        <v>-8.9381207028265852E-2</v>
      </c>
      <c r="F11" s="515">
        <f>IF(ISNUMBER((Datos!M11-Datos!W11)/Datos!W11),(Datos!M11-Datos!W11)/Datos!W11," - ")</f>
        <v>-0.38347107438016531</v>
      </c>
      <c r="G11" s="516">
        <f>IF(ISNUMBER((Datos!N11-Datos!X11)/Datos!X11),(Datos!N11-Datos!X11)/Datos!X11," - ")</f>
        <v>-0.29085872576177285</v>
      </c>
      <c r="H11" s="514">
        <f>IF(ISNUMBER(((NºAsuntos!G11/NºAsuntos!E11)-Datos!BD11)/Datos!BD11),((NºAsuntos!G11/NºAsuntos!E11)-Datos!BD11)/Datos!BD11," - ")</f>
        <v>-0.20517509242248988</v>
      </c>
      <c r="I11" s="515">
        <f>IF(ISNUMBER(((NºAsuntos!I11/NºAsuntos!G11)-Datos!BE11)/Datos!BE11),((NºAsuntos!I11/NºAsuntos!G11)-Datos!BE11)/Datos!BE11," - ")</f>
        <v>0.33528753349574231</v>
      </c>
      <c r="J11" s="521">
        <f>IF(ISNUMBER((('Resol  Asuntos'!D11/NºAsuntos!G11)-Datos!BF11)/Datos!BF11),(('Resol  Asuntos'!D11/NºAsuntos!G11)-Datos!BF11)/Datos!BF11," - ")</f>
        <v>0.51509482710691468</v>
      </c>
      <c r="K11" s="522">
        <f>IF(ISNUMBER((((NºAsuntos!C11+NºAsuntos!E11)/NºAsuntos!G11)-Datos!BG11)/Datos!BG11),(((NºAsuntos!C11+NºAsuntos!E11)/NºAsuntos!G11)-Datos!BG11)/Datos!BG11," - ")</f>
        <v>0.17204679786198629</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-0.22330268741159831</v>
      </c>
      <c r="C14" s="1152">
        <f>IF(ISNUMBER(
   IF(J_V="SI",(Datos!J14-Datos!T14)/Datos!T14,(Datos!J14+Datos!Z14-(Datos!T14+Datos!AH14))/(Datos!T14+Datos!AH14))
     ),IF(J_V="SI",(Datos!J14-Datos!T14)/Datos!T14,(Datos!J14+Datos!Z14-(Datos!T14+Datos!AH14))/(Datos!T14+Datos!AH14))," - ")</f>
        <v>-5.0737100737100735E-2</v>
      </c>
      <c r="D14" s="1152">
        <f>IF(ISNUMBER(
   IF(J_V="SI",(Datos!K14-Datos!U14)/Datos!U14,(Datos!K14+Datos!AA14-(Datos!U14+Datos!AI14))/(Datos!U14+Datos!AI14))
     ),IF(J_V="SI",(Datos!K14-Datos!U14)/Datos!U14,(Datos!K14+Datos!AA14-(Datos!U14+Datos!AI14))/(Datos!U14+Datos!AI14))," - ")</f>
        <v>-0.12333887043189369</v>
      </c>
      <c r="E14" s="1152">
        <f>IF(ISNUMBER(
   IF(J_V="SI",(Datos!L14-Datos!V14)/Datos!V14,(Datos!L14+Datos!AB14-(Datos!V14+Datos!AJ14))/(Datos!V14+Datos!AJ14))
     ),IF(J_V="SI",(Datos!L14-Datos!V14)/Datos!V14,(Datos!L14+Datos!AB14-(Datos!V14+Datos!AJ14))/(Datos!V14+Datos!AJ14))," - ")</f>
        <v>-0.13440165417420522</v>
      </c>
      <c r="F14" s="1153">
        <f>IF(ISNUMBER((Datos!M14-Datos!W14)/Datos!W14),(Datos!M14-Datos!W14)/Datos!W14," - ")</f>
        <v>-0.15096570752857705</v>
      </c>
      <c r="G14" s="1154">
        <f>IF(ISNUMBER((Datos!N14-Datos!X14)/Datos!X14),(Datos!N14-Datos!X14)/Datos!X14," - ")</f>
        <v>-0.10347682119205298</v>
      </c>
      <c r="H14" s="1154">
        <f>IF(ISNUMBER(((NºAsuntos!G14/NºAsuntos!E14)-Datos!BD14)/Datos!BD14),((NºAsuntos!G14/NºAsuntos!E14)-Datos!BD14)/Datos!BD14," - ")</f>
        <v>-7.6482257708763532E-2</v>
      </c>
      <c r="I14" s="1154">
        <f>IF(ISNUMBER(((NºAsuntos!I14/NºAsuntos!G14)-Datos!BE14)/Datos!BE14),((NºAsuntos!I14/NºAsuntos!G14)-Datos!BE14)/Datos!BE14," - ")</f>
        <v>-1.2619224657264904E-2</v>
      </c>
      <c r="J14" s="1154">
        <f>IF(ISNUMBER((('Resol  Asuntos'!D14/NºAsuntos!G14)-Datos!BF14)/Datos!BF14),(('Resol  Asuntos'!D14/NºAsuntos!G14)-Datos!BF14)/Datos!BF14," - ")</f>
        <v>-0.32050615612279548</v>
      </c>
      <c r="K14" s="1154">
        <f>IF(ISNUMBER((((NºAsuntos!C14+NºAsuntos!E14)/NºAsuntos!G14)-Datos!BG14)/Datos!BG14),(((NºAsuntos!C14+NºAsuntos!E14)/NºAsuntos!G14)-Datos!BG14)/Datos!BG14," - ")</f>
        <v>-5.021113149319064E-2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3.8092770147706657E-2</v>
      </c>
      <c r="C16" s="515">
        <f>IF(ISNUMBER(
   IF(D_I="SI",(Datos!J16-Datos!T16)/Datos!T16,(Datos!J16+Datos!AD16-(Datos!T16+Datos!AL16))/(Datos!T16+Datos!AL16))
     ),IF(D_I="SI",(Datos!J16-Datos!T16)/Datos!T16,(Datos!J16+Datos!AD16-(Datos!T16+Datos!AL16))/(Datos!T16+Datos!AL16))," - ")</f>
        <v>5.1057466353343302E-2</v>
      </c>
      <c r="D16" s="515">
        <f>IF(ISNUMBER(
   IF(D_I="SI",(Datos!K16-Datos!U16)/Datos!U16,(Datos!K16+Datos!AE16-(Datos!U16+Datos!AM16))/(Datos!U16+Datos!AM16))
     ),IF(D_I="SI",(Datos!K16-Datos!U16)/Datos!U16,(Datos!K16+Datos!AE16-(Datos!U16+Datos!AM16))/(Datos!U16+Datos!AM16))," - ")</f>
        <v>1.5579255541614387E-2</v>
      </c>
      <c r="E16" s="515">
        <f>IF(ISNUMBER(
   IF(D_I="SI",(Datos!L16-Datos!V16)/Datos!V16,(Datos!L16+Datos!AF16-(Datos!V16+Datos!AN16))/(Datos!V16+Datos!AN16))
     ),IF(D_I="SI",(Datos!L16-Datos!V16)/Datos!V16,(Datos!L16+Datos!AF16-(Datos!V16+Datos!AN16))/(Datos!V16+Datos!AN16))," - ")</f>
        <v>0.1360708534621578</v>
      </c>
      <c r="F16" s="515">
        <f>IF(ISNUMBER((Datos!M16-Datos!W16)/Datos!W16),(Datos!M16-Datos!W16)/Datos!W16," - ")</f>
        <v>4.7713717693836977E-2</v>
      </c>
      <c r="G16" s="516">
        <f>IF(ISNUMBER((Datos!N16-Datos!X16)/Datos!X16),(Datos!N16-Datos!X16)/Datos!X16," - ")</f>
        <v>4.7501160451802568E-2</v>
      </c>
      <c r="H16" s="514">
        <f>IF(ISNUMBER(((NºAsuntos!G16/NºAsuntos!E16)-Datos!BD16)/Datos!BD16),((NºAsuntos!G16/NºAsuntos!E16)-Datos!BD16)/Datos!BD16," - ")</f>
        <v>-3.3754777400346228E-2</v>
      </c>
      <c r="I16" s="515">
        <f>IF(ISNUMBER(((NºAsuntos!I16/NºAsuntos!G16)-Datos!BE16)/Datos!BE16),((NºAsuntos!I16/NºAsuntos!G16)-Datos!BE16)/Datos!BE16," - ")</f>
        <v>0.11864322480305545</v>
      </c>
      <c r="J16" s="521">
        <f>IF(ISNUMBER((('Resol  Asuntos'!D16/NºAsuntos!G16)-Datos!BF16)/Datos!BF16),(('Resol  Asuntos'!D16/NºAsuntos!G16)-Datos!BF16)/Datos!BF16," - ")</f>
        <v>3.1641510967142732E-2</v>
      </c>
      <c r="K16" s="522">
        <f>IF(ISNUMBER((((NºAsuntos!C16+NºAsuntos!E16)/NºAsuntos!G16)-Datos!BG16)/Datos!BG16),(((NºAsuntos!C16+NºAsuntos!E16)/NºAsuntos!G16)-Datos!BG16)/Datos!BG16," - ")</f>
        <v>3.1207827106763758E-2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-0.35678391959798994</v>
      </c>
      <c r="C18" s="515">
        <f>IF(ISNUMBER(
   IF(D_I="SI",(Datos!J18-Datos!T18)/Datos!T18,(Datos!J18+Datos!AD18-(Datos!T18+Datos!AL18))/(Datos!T18+Datos!AL18))
     ),IF(D_I="SI",(Datos!J18-Datos!T18)/Datos!T18,(Datos!J18+Datos!AD18-(Datos!T18+Datos!AL18))/(Datos!T18+Datos!AL18))," - ")</f>
        <v>7.8296703296703296E-2</v>
      </c>
      <c r="D18" s="515">
        <f>IF(ISNUMBER(
   IF(D_I="SI",(Datos!K18-Datos!U18)/Datos!U18,(Datos!K18+Datos!AE18-(Datos!U18+Datos!AM18))/(Datos!U18+Datos!AM18))
     ),IF(D_I="SI",(Datos!K18-Datos!U18)/Datos!U18,(Datos!K18+Datos!AE18-(Datos!U18+Datos!AM18))/(Datos!U18+Datos!AM18))," - ")</f>
        <v>-1.4230271668822769E-2</v>
      </c>
      <c r="E18" s="515">
        <f>IF(ISNUMBER(
   IF(D_I="SI",(Datos!L18-Datos!V18)/Datos!V18,(Datos!L18+Datos!AF18-(Datos!V18+Datos!AN18))/(Datos!V18+Datos!AN18))
     ),IF(D_I="SI",(Datos!L18-Datos!V18)/Datos!V18,(Datos!L18+Datos!AF18-(Datos!V18+Datos!AN18))/(Datos!V18+Datos!AN18))," - ")</f>
        <v>-0.199438202247191</v>
      </c>
      <c r="F18" s="515">
        <f>IF(ISNUMBER((Datos!M18-Datos!W18)/Datos!W18),(Datos!M18-Datos!W18)/Datos!W18," - ")</f>
        <v>-0.14189189189189189</v>
      </c>
      <c r="G18" s="516">
        <f>IF(ISNUMBER((Datos!N18-Datos!X18)/Datos!X18),(Datos!N18-Datos!X18)/Datos!X18," - ")</f>
        <v>-0.11423841059602649</v>
      </c>
      <c r="H18" s="514">
        <f>IF(ISNUMBER(((NºAsuntos!G18/NºAsuntos!E18)-Datos!BD18)/Datos!BD18),((NºAsuntos!G18/NºAsuntos!E18)-Datos!BD18)/Datos!BD18," - ")</f>
        <v>-8.5808455764207606E-2</v>
      </c>
      <c r="I18" s="515">
        <f>IF(ISNUMBER(((NºAsuntos!I18/NºAsuntos!G18)-Datos!BE18)/Datos!BE18),((NºAsuntos!I18/NºAsuntos!G18)-Datos!BE18)/Datos!BE18," - ")</f>
        <v>-0.18788153587543124</v>
      </c>
      <c r="J18" s="521">
        <f>IF(ISNUMBER((('Resol  Asuntos'!D18/NºAsuntos!G18)-Datos!BF18)/Datos!BF18),(('Resol  Asuntos'!D18/NºAsuntos!G18)-Datos!BF18)/Datos!BF18," - ")</f>
        <v>-0.12950450450450454</v>
      </c>
      <c r="K18" s="522">
        <f>IF(ISNUMBER((((NºAsuntos!C18+NºAsuntos!E18)/NºAsuntos!G18)-Datos!BG18)/Datos!BG18),(((NºAsuntos!C18+NºAsuntos!E18)/NºAsuntos!G18)-Datos!BG18)/Datos!BG18," - ")</f>
        <v>-6.2142487517657143E-2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1.1745360582569885E-3</v>
      </c>
      <c r="C23" s="1152">
        <f>IF(ISNUMBER(
   IF(Criterios!B14="SI",(Datos!J23-Datos!T23)/Datos!T23,(Datos!J23+Datos!AD23-(Datos!T23+Datos!AL23))/(Datos!T23+Datos!AL23))
     ),IF(Criterios!B14="SI",(Datos!J23-Datos!T23)/Datos!T23,(Datos!J23+Datos!AD23-(Datos!T23+Datos!AL23))/(Datos!T23+Datos!AL23))," - ")</f>
        <v>5.3022794846382559E-2</v>
      </c>
      <c r="D23" s="1152">
        <f>IF(ISNUMBER(
   IF(Criterios!B14="SI",(Datos!K23-Datos!U23)/Datos!U23,(Datos!K23+Datos!AE23-(Datos!U23+Datos!AM23))/(Datos!U23+Datos!AM23))
     ),IF(Criterios!B14="SI",(Datos!K23-Datos!U23)/Datos!U23,(Datos!K23+Datos!AE23-(Datos!U23+Datos!AM23))/(Datos!U23+Datos!AM23))," - ")</f>
        <v>1.3350101576859823E-2</v>
      </c>
      <c r="E23" s="1152">
        <f>IF(ISNUMBER(
   IF(Criterios!B14="SI",(Datos!L23-Datos!V23)/Datos!V23,(Datos!L23+Datos!AF23-(Datos!V23+Datos!AN23))/(Datos!V23+Datos!AN23))
     ),IF(Criterios!B14="SI",(Datos!L23-Datos!V23)/Datos!V23,(Datos!L23+Datos!AF23-(Datos!V23+Datos!AN23))/(Datos!V23+Datos!AN23))," - ")</f>
        <v>0.10681038706516413</v>
      </c>
      <c r="F23" s="1153">
        <f>IF(ISNUMBER((Datos!M23-Datos!W23)/Datos!W23),(Datos!M23-Datos!W23)/Datos!W23," - ")</f>
        <v>2.3396880415944541E-2</v>
      </c>
      <c r="G23" s="1154">
        <f>IF(ISNUMBER((Datos!N23-Datos!X23)/Datos!X23),(Datos!N23-Datos!X23)/Datos!X23," - ")</f>
        <v>3.3677656714305927E-2</v>
      </c>
      <c r="H23" s="1154">
        <f>IF(ISNUMBER(((NºAsuntos!G23/NºAsuntos!E23)-Datos!BD23)/Datos!BD23),((NºAsuntos!G23/NºAsuntos!E23)-Datos!BD23)/Datos!BD23," - ")</f>
        <v>-3.7675056479010365E-2</v>
      </c>
      <c r="I23" s="1154">
        <f>IF(ISNUMBER(((NºAsuntos!I23/NºAsuntos!G23)-Datos!BE23)/Datos!BE23),((NºAsuntos!I23/NºAsuntos!G23)-Datos!BE23)/Datos!BE23," - ")</f>
        <v>9.222901872005751E-2</v>
      </c>
      <c r="J23" s="1154">
        <f>IF(ISNUMBER((('Resol  Asuntos'!D23/NºAsuntos!G23)-Datos!BF23)/Datos!BF23),(('Resol  Asuntos'!D23/NºAsuntos!G23)-Datos!BF23)/Datos!BF23," - ")</f>
        <v>9.9144203207272939E-3</v>
      </c>
      <c r="K23" s="1154">
        <f>IF(ISNUMBER((((NºAsuntos!C23+NºAsuntos!E23)/NºAsuntos!G23)-Datos!BG23)/Datos!BG23),(((NºAsuntos!C23+NºAsuntos!E23)/NºAsuntos!G23)-Datos!BG23)/Datos!BG23," - ")</f>
        <v>2.3968447912156E-2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-0.17828032979976444</v>
      </c>
      <c r="C31" s="1092">
        <f>IF(ISNUMBER(
   IF(J_V="SI",(Datos!J31-Datos!T31)/Datos!T31,(Datos!J31+Datos!Z31-(Datos!T31+Datos!AH31))/(Datos!T31+Datos!AH31))
     ),IF(J_V="SI",(Datos!J31-Datos!T31)/Datos!T31,(Datos!J31+Datos!Z31-(Datos!T31+Datos!AH31))/(Datos!T31+Datos!AH31))," - ")</f>
        <v>6.6922654964344484E-3</v>
      </c>
      <c r="D31" s="1092">
        <f>IF(ISNUMBER(
   IF(J_V="SI",(Datos!K31-Datos!U31)/Datos!U31,(Datos!K31+Datos!AA31-(Datos!U31+Datos!AI31))/(Datos!U31+Datos!AI31))
     ),IF(J_V="SI",(Datos!K31-Datos!U31)/Datos!U31,(Datos!K31+Datos!AA31-(Datos!U31+Datos!AI31))/(Datos!U31+Datos!AI31))," - ")</f>
        <v>-5.258150132705694E-2</v>
      </c>
      <c r="E31" s="1092">
        <f>IF(ISNUMBER(
   IF(J_V="SI",(Datos!L31-Datos!V31)/Datos!V31,(Datos!L31+Datos!AB31-(Datos!V31+Datos!AJ31))/(Datos!V31+Datos!AJ31))
     ),IF(J_V="SI",(Datos!L31-Datos!V31)/Datos!V31,(Datos!L31+Datos!AB31-(Datos!V31+Datos!AJ31))/(Datos!V31+Datos!AJ31))," - ")</f>
        <v>-8.4057674608855715E-2</v>
      </c>
      <c r="F31" s="1093">
        <f>IF(ISNUMBER((Datos!M31-Datos!W31)/Datos!W31),(Datos!M31-Datos!W31)/Datos!W31," - ")</f>
        <v>-9.6450826334326736E-2</v>
      </c>
      <c r="G31" s="1094">
        <f>IF(ISNUMBER((Datos!N31-Datos!X31)/Datos!X31),(Datos!N31-Datos!X31)/Datos!X31," - ")</f>
        <v>-1.2814516883359835E-2</v>
      </c>
      <c r="H31" s="1095">
        <f>IF(ISNUMBER((Tasas!B31-Datos!BD31)/Datos!BD31),(Tasas!B31-Datos!BD31)/Datos!BD31," - ")</f>
        <v>-5.8879728051016149E-2</v>
      </c>
      <c r="I31" s="1096">
        <f>IF(ISNUMBER((Tasas!C31-Datos!BE31)/Datos!BE31),(Tasas!C31-Datos!BE31)/Datos!BE31," - ")</f>
        <v>-3.3223093412138027E-2</v>
      </c>
      <c r="J31" s="1097">
        <f>IF(ISNUMBER((Tasas!D31-Datos!BF31)/Datos!BF31),(Tasas!D31-Datos!BF31)/Datos!BF31," - ")</f>
        <v>-0.26203528160380962</v>
      </c>
      <c r="K31" s="1097">
        <f>IF(ISNUMBER((Tasas!E31-Datos!BG31)/Datos!BG31),(Tasas!E31-Datos!BG31)/Datos!BG31," - ")</f>
        <v>-4.2466024929266925E-2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49+XcCv1jgQFWnUt+IrXwktRM9csZyWZqrJrHU1hbN1OpRkX8+swo/okBBqe1TEZca4kbW9ctx4Ye6ClVgkhQ==" saltValue="s22nw0/1x935Ve8NSNpY9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GRANADA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1.1085477669328601</v>
      </c>
      <c r="C9" s="498">
        <f>IF(ISNUMBER(NºAsuntos!I9/NºAsuntos!G9),NºAsuntos!I9/NºAsuntos!G9," - ")</f>
        <v>1.6008537886873</v>
      </c>
      <c r="D9" s="499">
        <f>IF(ISNUMBER('Resol  Asuntos'!D9/NºAsuntos!G9),'Resol  Asuntos'!D9/NºAsuntos!G9," - ")</f>
        <v>0.23132337246531484</v>
      </c>
      <c r="E9" s="500">
        <f>IF(ISNUMBER((NºAsuntos!C9+NºAsuntos!E9)/NºAsuntos!G9),(NºAsuntos!C9+NºAsuntos!E9)/NºAsuntos!G9," - ")</f>
        <v>2.4762540021344717</v>
      </c>
      <c r="G9" s="523"/>
    </row>
    <row r="10" spans="1:7">
      <c r="A10" s="450" t="str">
        <f>Datos!A10</f>
        <v>Jdos. Violencia contra la mujer</v>
      </c>
      <c r="B10" s="497">
        <f>IF(ISNUMBER(NºAsuntos!G10/NºAsuntos!E10),NºAsuntos!G10/NºAsuntos!E10," - ")</f>
        <v>0.89380530973451322</v>
      </c>
      <c r="C10" s="498">
        <f>IF(ISNUMBER(NºAsuntos!I10/NºAsuntos!G10),NºAsuntos!I10/NºAsuntos!G10," - ")</f>
        <v>2.0198019801980198</v>
      </c>
      <c r="D10" s="499">
        <f>IF(ISNUMBER('Resol  Asuntos'!D10/NºAsuntos!G10),'Resol  Asuntos'!D10/NºAsuntos!G10," - ")</f>
        <v>0.46534653465346537</v>
      </c>
      <c r="E10" s="500">
        <f>IF(ISNUMBER((NºAsuntos!C10+NºAsuntos!E10)/NºAsuntos!G10),(NºAsuntos!C10+NºAsuntos!E10)/NºAsuntos!G10," - ")</f>
        <v>3.0198019801980198</v>
      </c>
      <c r="G10" s="523"/>
    </row>
    <row r="11" spans="1:7">
      <c r="A11" s="450" t="str">
        <f>Datos!A11</f>
        <v xml:space="preserve">Jdos. Familia                                   </v>
      </c>
      <c r="B11" s="497">
        <f>IF(ISNUMBER(NºAsuntos!G11/NºAsuntos!E11),NºAsuntos!G11/NºAsuntos!E11," - ")</f>
        <v>0.994131455399061</v>
      </c>
      <c r="C11" s="498">
        <f>IF(ISNUMBER(NºAsuntos!I11/NºAsuntos!G11),NºAsuntos!I11/NºAsuntos!G11," - ")</f>
        <v>1.4073199527744982</v>
      </c>
      <c r="D11" s="499">
        <f>IF(ISNUMBER('Resol  Asuntos'!D11/NºAsuntos!G11),'Resol  Asuntos'!D11/NºAsuntos!G11," - ")</f>
        <v>0.44037780401416765</v>
      </c>
      <c r="E11" s="500">
        <f>IF(ISNUMBER((NºAsuntos!C11+NºAsuntos!E11)/NºAsuntos!G11),(NºAsuntos!C11+NºAsuntos!E11)/NºAsuntos!G11," - ")</f>
        <v>2.4073199527744982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1.0927915102885983</v>
      </c>
      <c r="C14" s="1156">
        <f>IF(ISNUMBER(NºAsuntos!I14/NºAsuntos!G14),NºAsuntos!I14/NºAsuntos!G14," - ")</f>
        <v>1.5864519185220274</v>
      </c>
      <c r="D14" s="1157">
        <f>IF(ISNUMBER('Resol  Asuntos'!D14/NºAsuntos!G14),'Resol  Asuntos'!D14/NºAsuntos!G14," - ")</f>
        <v>0.25509237328280437</v>
      </c>
      <c r="E14" s="1158">
        <f>IF(ISNUMBER((NºAsuntos!C14+NºAsuntos!E14)/NºAsuntos!G14),(NºAsuntos!C14+NºAsuntos!E14)/NºAsuntos!G14," - ")</f>
        <v>2.4758408337280908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0.98709349593495932</v>
      </c>
      <c r="C16" s="498">
        <f>IF(ISNUMBER(NºAsuntos!I16/NºAsuntos!G16),NºAsuntos!I16/NºAsuntos!G16," - ")</f>
        <v>0.43580768042829199</v>
      </c>
      <c r="D16" s="499">
        <f>IF(ISNUMBER('Resol  Asuntos'!D16/NºAsuntos!G16),'Resol  Asuntos'!D16/NºAsuntos!G16," - ")</f>
        <v>0.1085143621949964</v>
      </c>
      <c r="E16" s="500">
        <f>IF(ISNUMBER((NºAsuntos!C16+NºAsuntos!E16)/NºAsuntos!G16),(NºAsuntos!C16+NºAsuntos!E16)/NºAsuntos!G16," - ")</f>
        <v>1.4255122001441367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0.97070063694267517</v>
      </c>
      <c r="C18" s="498">
        <f>IF(ISNUMBER(NºAsuntos!I18/NºAsuntos!G18),NºAsuntos!I18/NºAsuntos!G18," - ")</f>
        <v>0.37401574803149606</v>
      </c>
      <c r="D18" s="499">
        <f>IF(ISNUMBER('Resol  Asuntos'!D18/NºAsuntos!G18),'Resol  Asuntos'!D18/NºAsuntos!G18," - ")</f>
        <v>0.16666666666666666</v>
      </c>
      <c r="E18" s="500">
        <f>IF(ISNUMBER((NºAsuntos!C18+NºAsuntos!E18)/NºAsuntos!G18),(NºAsuntos!C18+NºAsuntos!E18)/NºAsuntos!G18," - ")</f>
        <v>1.3661417322834646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0.98588235294117643</v>
      </c>
      <c r="C23" s="1156">
        <f>IF(ISNUMBER(NºAsuntos!I23/NºAsuntos!G23),NºAsuntos!I23/NºAsuntos!G23," - ")</f>
        <v>0.43131264916467782</v>
      </c>
      <c r="D23" s="1159">
        <f>IF(ISNUMBER('Resol  Asuntos'!D23/NºAsuntos!G23),'Resol  Asuntos'!D23/NºAsuntos!G23," - ")</f>
        <v>0.11274463007159904</v>
      </c>
      <c r="E23" s="1158">
        <f>IF(ISNUMBER((NºAsuntos!C23+NºAsuntos!E23)/NºAsuntos!G23),(NºAsuntos!C23+NºAsuntos!E23)/NºAsuntos!G23," - ")</f>
        <v>1.4211933174224343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1.0308958151700087</v>
      </c>
      <c r="C31" s="1099">
        <f>IF(ISNUMBER(NºAsuntos!I31/NºAsuntos!G31),NºAsuntos!I31/NºAsuntos!G31," - ")</f>
        <v>0.94687879909086103</v>
      </c>
      <c r="D31" s="1100">
        <f>IF(ISNUMBER('Resol  Asuntos'!D31/NºAsuntos!G31),'Resol  Asuntos'!D31/NºAsuntos!G31," - ")</f>
        <v>0.17627781595221734</v>
      </c>
      <c r="E31" s="1101">
        <f>IF(ISNUMBER((NºAsuntos!C31+NºAsuntos!E31)/NºAsuntos!G31),(NºAsuntos!C31+NºAsuntos!E31)/NºAsuntos!G31," - ")</f>
        <v>1.8919076061102595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TWVo3+InhPAFthuQD50AtnakzNUti4Gi2qU+25xMeafJ54Uw1Y6A0NaJladVrxQw/xOu3LtPofznrtGl4Jhg==" saltValue="OPlt1lMs9gztAJPu1l0X8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GRANADA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16</v>
      </c>
      <c r="B9" s="190" t="s">
        <v>321</v>
      </c>
      <c r="C9" s="173" t="str">
        <f>Datos!A9</f>
        <v xml:space="preserve">Jdos. 1ª Instancia   </v>
      </c>
      <c r="D9" s="173"/>
      <c r="E9" s="1402">
        <f>IF(ISNUMBER(Datos!AQ9),Datos!AQ9," - ")</f>
        <v>16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1432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3528</v>
      </c>
      <c r="Y9" s="374">
        <f>SUM(W9:X9)</f>
        <v>3528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21138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1734</v>
      </c>
      <c r="AJ9" s="243" t="str">
        <f>IF(ISNUMBER(Datos!BW9),Datos!BW9," - ")</f>
        <v xml:space="preserve"> - </v>
      </c>
      <c r="AK9" s="242" t="str">
        <f>IF(ISNUMBER(Datos!BX9),Datos!BX9," - ")</f>
        <v xml:space="preserve"> - </v>
      </c>
      <c r="AL9" s="266">
        <f>IF(ISNUMBER(NºAsuntos!G9/NºAsuntos!E9),NºAsuntos!G9/NºAsuntos!E9," - ")</f>
        <v>1.1085477669328601</v>
      </c>
      <c r="AM9" s="284">
        <f>IF(ISNUMBER(((NºAsuntos!I9/NºAsuntos!G9)*11)/factor_trimestre),((NºAsuntos!I9/NºAsuntos!G9)*11)/factor_trimestre," - ")</f>
        <v>4.8025613660618998</v>
      </c>
      <c r="AN9" s="267">
        <f>IF(ISNUMBER('Resol  Asuntos'!D9/NºAsuntos!G9),'Resol  Asuntos'!D9/NºAsuntos!G9," - ")</f>
        <v>0.23132337246531484</v>
      </c>
      <c r="AO9" s="268">
        <f>IF(ISNUMBER((NºAsuntos!C9+NºAsuntos!E9)/NºAsuntos!G9),(NºAsuntos!C9+NºAsuntos!E9)/NºAsuntos!G9," - ")</f>
        <v>2.4762540021344717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192</v>
      </c>
      <c r="G10" s="373">
        <f>IF(ISNUMBER(Datos!I10),Datos!I10," - ")</f>
        <v>192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101</v>
      </c>
      <c r="X10" s="240">
        <f>IF(ISNUMBER(Datos!Q10),Datos!Q10," - ")</f>
        <v>30</v>
      </c>
      <c r="Y10" s="374">
        <f t="shared" ref="Y10:Y13" si="0">SUM(W10:X10)</f>
        <v>131</v>
      </c>
      <c r="Z10" s="375" t="str">
        <f>IF(ISNUMBER(Datos!CC10),Datos!CC10," - ")</f>
        <v xml:space="preserve"> - </v>
      </c>
      <c r="AA10" s="372">
        <f>IF(ISNUMBER(Datos!L10),Datos!L10,"-")</f>
        <v>204</v>
      </c>
      <c r="AB10" s="374">
        <f>IF(ISNUMBER(Datos!R10),Datos!R10," - ")</f>
        <v>197</v>
      </c>
      <c r="AC10" s="374">
        <f t="shared" ref="AC10:AC13" si="1">IF(ISNUMBER(AA10+AB10),AA10+AB10," - ")</f>
        <v>401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47</v>
      </c>
      <c r="AJ10" s="245" t="str">
        <f>IF(ISNUMBER(Datos!BW10),Datos!BW10," - ")</f>
        <v xml:space="preserve"> - </v>
      </c>
      <c r="AK10" s="246" t="str">
        <f>IF(ISNUMBER(Datos!BX10),Datos!BX10," - ")</f>
        <v xml:space="preserve"> - </v>
      </c>
      <c r="AL10" s="266">
        <f>IF(ISNUMBER(NºAsuntos!G10/NºAsuntos!E10),NºAsuntos!G10/NºAsuntos!E10," - ")</f>
        <v>0.89380530973451322</v>
      </c>
      <c r="AM10" s="284">
        <f>IF(ISNUMBER(((NºAsuntos!I10/NºAsuntos!G10)*11)/factor_trimestre),((NºAsuntos!I10/NºAsuntos!G10)*11)/factor_trimestre," - ")</f>
        <v>6.0594059405940603</v>
      </c>
      <c r="AN10" s="267">
        <f>IF(ISNUMBER('Resol  Asuntos'!D10/NºAsuntos!G10),'Resol  Asuntos'!D10/NºAsuntos!G10," - ")</f>
        <v>0.46534653465346537</v>
      </c>
      <c r="AO10" s="268">
        <f>IF(ISNUMBER((NºAsuntos!C10+NºAsuntos!E10)/NºAsuntos!G10),(NºAsuntos!C10+NºAsuntos!E10)/NºAsuntos!G10," - ")</f>
        <v>3.0198019801980198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125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136</v>
      </c>
      <c r="Y11" s="374">
        <f t="shared" si="0"/>
        <v>136</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1308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373</v>
      </c>
      <c r="AJ11" s="245" t="str">
        <f>IF(ISNUMBER(Datos!BW11),Datos!BW11," - ")</f>
        <v xml:space="preserve"> - </v>
      </c>
      <c r="AK11" s="246" t="str">
        <f>IF(ISNUMBER(Datos!BX11),Datos!BX11," - ")</f>
        <v xml:space="preserve"> - </v>
      </c>
      <c r="AL11" s="266">
        <f>IF(ISNUMBER(NºAsuntos!G11/NºAsuntos!E11),NºAsuntos!G11/NºAsuntos!E11," - ")</f>
        <v>0.994131455399061</v>
      </c>
      <c r="AM11" s="284">
        <f>IF(ISNUMBER(((NºAsuntos!I11/NºAsuntos!G11)*11)/factor_trimestre),((NºAsuntos!I11/NºAsuntos!G11)*11)/factor_trimestre," - ")</f>
        <v>4.221959858323495</v>
      </c>
      <c r="AN11" s="267">
        <f>IF(ISNUMBER('Resol  Asuntos'!D11/NºAsuntos!G11),'Resol  Asuntos'!D11/NºAsuntos!G11," - ")</f>
        <v>0.44037780401416765</v>
      </c>
      <c r="AO11" s="268">
        <f>IF(ISNUMBER((NºAsuntos!C11+NºAsuntos!E11)/NºAsuntos!G11),(NºAsuntos!C11+NºAsuntos!E11)/NºAsuntos!G11," - ")</f>
        <v>2.4073199527744982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21</v>
      </c>
      <c r="F14" s="1162">
        <f t="shared" si="5"/>
        <v>192</v>
      </c>
      <c r="G14" s="1163">
        <f t="shared" si="5"/>
        <v>192</v>
      </c>
      <c r="H14" s="1162">
        <f t="shared" si="5"/>
        <v>0</v>
      </c>
      <c r="I14" s="1164">
        <f t="shared" si="5"/>
        <v>0</v>
      </c>
      <c r="J14" s="1164">
        <f t="shared" si="5"/>
        <v>0</v>
      </c>
      <c r="K14" s="1164">
        <f t="shared" si="5"/>
        <v>0</v>
      </c>
      <c r="L14" s="1164">
        <f t="shared" si="5"/>
        <v>1588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101</v>
      </c>
      <c r="X14" s="1164">
        <f t="shared" si="6"/>
        <v>3694</v>
      </c>
      <c r="Y14" s="1165">
        <f t="shared" si="6"/>
        <v>3795</v>
      </c>
      <c r="Z14" s="1165">
        <f t="shared" si="6"/>
        <v>0</v>
      </c>
      <c r="AA14" s="1165">
        <f t="shared" si="6"/>
        <v>204</v>
      </c>
      <c r="AB14" s="1165">
        <f t="shared" si="6"/>
        <v>22643</v>
      </c>
      <c r="AC14" s="1165">
        <f t="shared" si="6"/>
        <v>401</v>
      </c>
      <c r="AD14" s="1165">
        <f t="shared" si="6"/>
        <v>0</v>
      </c>
      <c r="AE14" s="1169">
        <f t="shared" si="6"/>
        <v>0</v>
      </c>
      <c r="AF14" s="1162">
        <f t="shared" si="6"/>
        <v>0</v>
      </c>
      <c r="AG14" s="1170">
        <f t="shared" si="6"/>
        <v>0</v>
      </c>
      <c r="AH14" s="1167">
        <f t="shared" si="6"/>
        <v>0</v>
      </c>
      <c r="AI14" s="1162">
        <f t="shared" si="6"/>
        <v>2154</v>
      </c>
      <c r="AJ14" s="1164">
        <f t="shared" si="6"/>
        <v>0</v>
      </c>
      <c r="AK14" s="1167">
        <f>SUBTOTAL(9,AK9:AK13)</f>
        <v>0</v>
      </c>
      <c r="AL14" s="1171">
        <f>IF(ISNUMBER(NºAsuntos!G14/NºAsuntos!E14),NºAsuntos!G14/NºAsuntos!E14," - ")</f>
        <v>1.0927915102885983</v>
      </c>
      <c r="AM14" s="1171">
        <f>IF(ISNUMBER(((NºAsuntos!I14/NºAsuntos!G14)*11)/factor_trimestre),((NºAsuntos!I14/NºAsuntos!G14)*11)/factor_trimestre," - ")</f>
        <v>4.7593557555660819</v>
      </c>
      <c r="AN14" s="1172">
        <f>IF(ISNUMBER('Resol  Asuntos'!D14/NºAsuntos!G14),'Resol  Asuntos'!D14/NºAsuntos!G14," - ")</f>
        <v>0.25509237328280437</v>
      </c>
      <c r="AO14" s="1173">
        <f>IF(ISNUMBER((NºAsuntos!C14+NºAsuntos!E14)/NºAsuntos!G14),(NºAsuntos!C14+NºAsuntos!E14)/NºAsuntos!G14," - ")</f>
        <v>2.4758408337280908</v>
      </c>
      <c r="AP14" s="1174" t="str">
        <f t="shared" si="2"/>
        <v xml:space="preserve"> - </v>
      </c>
      <c r="AQ14" s="1174">
        <f>IF(ISNUMBER((H14-W14+K14)/(F14)),(H14-W14+K14)/(F14)," - ")</f>
        <v>-0.52604166666666663</v>
      </c>
      <c r="AR14" s="1175">
        <f>IF(ISNUMBER((Datos!P14-Datos!Q14)/(Datos!R14-Datos!P14+Datos!Q14)),(Datos!P14-Datos!Q14)/(Datos!R14-Datos!P14+Datos!Q14)," - ")</f>
        <v>-8.5094347246353383E-2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9</v>
      </c>
      <c r="B16" s="300" t="s">
        <v>511</v>
      </c>
      <c r="C16" s="173" t="str">
        <f>Datos!A16</f>
        <v xml:space="preserve">Jdos. Instrucción                               </v>
      </c>
      <c r="D16" s="173"/>
      <c r="E16" s="1402">
        <f>IF(ISNUMBER(Datos!AQ16),Datos!AQ16," - ")</f>
        <v>9</v>
      </c>
      <c r="F16" s="239">
        <f>IF(ISNUMBER(AA16+W16-Datos!J16-K16),AA16+W16-Datos!J16-K16," - ")</f>
        <v>4106</v>
      </c>
      <c r="G16" s="373">
        <f>IF(ISNUMBER(IF(D_I="SI",Datos!I16,Datos!I16+Datos!AC16)),IF(D_I="SI",Datos!I16,Datos!I16+Datos!AC16)," - ")</f>
        <v>4006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490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9713</v>
      </c>
      <c r="X16" s="240">
        <f>IF(ISNUMBER(Datos!Q16),Datos!Q16," - ")</f>
        <v>448</v>
      </c>
      <c r="Y16" s="374">
        <f>SUM(W16)</f>
        <v>9713</v>
      </c>
      <c r="Z16" s="375" t="str">
        <f>IF(ISNUMBER(Datos!CC16),Datos!CC16," - ")</f>
        <v xml:space="preserve"> - </v>
      </c>
      <c r="AA16" s="372">
        <f>IF(ISNUMBER(IF(D_I="SI",Datos!L16,Datos!L16+Datos!AF16)),IF(D_I="SI",Datos!L16,Datos!L16+Datos!AF16)," - ")</f>
        <v>4233</v>
      </c>
      <c r="AB16" s="374">
        <f>IF(ISNUMBER(Datos!R16),Datos!R16," - ")</f>
        <v>787</v>
      </c>
      <c r="AC16" s="374">
        <f t="shared" ref="AC16:AC22" si="8">IF(ISNUMBER(AA16+AB16),AA16+AB16," - ")</f>
        <v>5020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1054</v>
      </c>
      <c r="AJ16" s="245" t="str">
        <f>IF(ISNUMBER(Datos!BW16),Datos!BW16," - ")</f>
        <v xml:space="preserve"> - </v>
      </c>
      <c r="AK16" s="246" t="str">
        <f>IF(ISNUMBER(Datos!BX16),Datos!BX16," - ")</f>
        <v xml:space="preserve"> - </v>
      </c>
      <c r="AL16" s="266">
        <f>IF(ISNUMBER(NºAsuntos!G16/NºAsuntos!E16),NºAsuntos!G16/NºAsuntos!E16," - ")</f>
        <v>0.98709349593495932</v>
      </c>
      <c r="AM16" s="284">
        <f>IF(ISNUMBER(((NºAsuntos!I16/NºAsuntos!G16)*11)/factor_trimestre),((NºAsuntos!I16/NºAsuntos!G16)*11)/factor_trimestre," - ")</f>
        <v>1.307423041284876</v>
      </c>
      <c r="AN16" s="267">
        <f>IF(ISNUMBER('Resol  Asuntos'!D16/NºAsuntos!G16),'Resol  Asuntos'!D16/NºAsuntos!G16," - ")</f>
        <v>0.1085143621949964</v>
      </c>
      <c r="AO16" s="268">
        <f>IF(ISNUMBER((NºAsuntos!C16+NºAsuntos!E16)/NºAsuntos!G16),(NºAsuntos!C16+NºAsuntos!E16)/NºAsuntos!G16," - ")</f>
        <v>1.4255122001441367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256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762</v>
      </c>
      <c r="X18" s="240">
        <f>IF(ISNUMBER(Datos!Q18),Datos!Q18," - ")</f>
        <v>49</v>
      </c>
      <c r="Y18" s="374">
        <f t="shared" si="9"/>
        <v>811</v>
      </c>
      <c r="Z18" s="375" t="str">
        <f>IF(ISNUMBER(Datos!CC18),Datos!CC18," - ")</f>
        <v xml:space="preserve"> - </v>
      </c>
      <c r="AA18" s="372">
        <f>IF(ISNUMBER(Datos!L18),Datos!L18,"-")</f>
        <v>285</v>
      </c>
      <c r="AB18" s="374">
        <f>IF(ISNUMBER(Datos!R18),Datos!R18," - ")</f>
        <v>107</v>
      </c>
      <c r="AC18" s="374">
        <f t="shared" si="8"/>
        <v>392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127</v>
      </c>
      <c r="AJ18" s="245" t="str">
        <f>IF(ISNUMBER(Datos!BW18),Datos!BW18," - ")</f>
        <v xml:space="preserve"> - </v>
      </c>
      <c r="AK18" s="246" t="str">
        <f>IF(ISNUMBER(Datos!BX18),Datos!BX18," - ")</f>
        <v xml:space="preserve"> - </v>
      </c>
      <c r="AL18" s="266">
        <f>IF(ISNUMBER(NºAsuntos!G18/NºAsuntos!E18),NºAsuntos!G18/NºAsuntos!E18," - ")</f>
        <v>0.97070063694267517</v>
      </c>
      <c r="AM18" s="284">
        <f>IF(ISNUMBER(((NºAsuntos!I18/NºAsuntos!G18)*11)/factor_trimestre),((NºAsuntos!I18/NºAsuntos!G18)*11)/factor_trimestre," - ")</f>
        <v>1.1220472440944882</v>
      </c>
      <c r="AN18" s="267">
        <f>IF(ISNUMBER('Resol  Asuntos'!D18/NºAsuntos!G18),'Resol  Asuntos'!D18/NºAsuntos!G18," - ")</f>
        <v>0.16666666666666666</v>
      </c>
      <c r="AO18" s="268">
        <f>IF(ISNUMBER((NºAsuntos!C18+NºAsuntos!E18)/NºAsuntos!G18),(NºAsuntos!C18+NºAsuntos!E18)/NºAsuntos!G18," - ")</f>
        <v>1.3661417322834646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11</v>
      </c>
      <c r="F23" s="1162">
        <f>SUBTOTAL(9,F15:F22)</f>
        <v>4106</v>
      </c>
      <c r="G23" s="1163">
        <f>SUBTOTAL(9,G16:G22)</f>
        <v>4262</v>
      </c>
      <c r="H23" s="1162">
        <f t="shared" ref="H23:O23" si="13">SUBTOTAL(9,H15:H22)</f>
        <v>0</v>
      </c>
      <c r="I23" s="1164">
        <f t="shared" si="13"/>
        <v>0</v>
      </c>
      <c r="J23" s="1164">
        <f t="shared" si="13"/>
        <v>0</v>
      </c>
      <c r="K23" s="1164">
        <f t="shared" si="13"/>
        <v>0</v>
      </c>
      <c r="L23" s="1164">
        <f t="shared" si="13"/>
        <v>536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10475</v>
      </c>
      <c r="X23" s="1164">
        <f t="shared" si="14"/>
        <v>497</v>
      </c>
      <c r="Y23" s="1165">
        <f t="shared" si="14"/>
        <v>10524</v>
      </c>
      <c r="Z23" s="1165">
        <f t="shared" si="14"/>
        <v>0</v>
      </c>
      <c r="AA23" s="1165">
        <f t="shared" si="14"/>
        <v>4518</v>
      </c>
      <c r="AB23" s="1165">
        <f t="shared" si="14"/>
        <v>894</v>
      </c>
      <c r="AC23" s="1165">
        <f t="shared" si="14"/>
        <v>5412</v>
      </c>
      <c r="AD23" s="1165">
        <f t="shared" si="14"/>
        <v>0</v>
      </c>
      <c r="AE23" s="1169">
        <f t="shared" si="14"/>
        <v>0</v>
      </c>
      <c r="AF23" s="1162">
        <f t="shared" si="14"/>
        <v>0</v>
      </c>
      <c r="AG23" s="1170">
        <f t="shared" si="14"/>
        <v>0</v>
      </c>
      <c r="AH23" s="1167">
        <f t="shared" si="14"/>
        <v>0</v>
      </c>
      <c r="AI23" s="1162">
        <f t="shared" si="14"/>
        <v>1181</v>
      </c>
      <c r="AJ23" s="1164">
        <f t="shared" si="14"/>
        <v>0</v>
      </c>
      <c r="AK23" s="1167">
        <f t="shared" si="14"/>
        <v>0</v>
      </c>
      <c r="AL23" s="1171">
        <f>IF(ISNUMBER(NºAsuntos!G23/NºAsuntos!E23),NºAsuntos!G23/NºAsuntos!E23," - ")</f>
        <v>0.98588235294117643</v>
      </c>
      <c r="AM23" s="1171">
        <f>IF(ISNUMBER(((NºAsuntos!I23/NºAsuntos!G23)*11)/factor_trimestre),((NºAsuntos!I23/NºAsuntos!G23)*11)/factor_trimestre," - ")</f>
        <v>1.2939379474940333</v>
      </c>
      <c r="AN23" s="1172">
        <f>IF(ISNUMBER('Resol  Asuntos'!D23/NºAsuntos!G23),'Resol  Asuntos'!D23/NºAsuntos!G23," - ")</f>
        <v>0.11274463007159904</v>
      </c>
      <c r="AO23" s="1173">
        <f>IF(ISNUMBER((NºAsuntos!C23+NºAsuntos!E23)/NºAsuntos!G23),(NºAsuntos!C23+NºAsuntos!E23)/NºAsuntos!G23," - ")</f>
        <v>1.4211933174224343</v>
      </c>
      <c r="AP23" s="1174" t="str">
        <f t="shared" si="2"/>
        <v xml:space="preserve"> - </v>
      </c>
      <c r="AQ23" s="1174">
        <f>IF(ISNUMBER((H23-W23+K23)/(F23)),(H23-W23+K23)/(F23)," - ")</f>
        <v>-2.5511446663419388</v>
      </c>
      <c r="AR23" s="1175">
        <f>IF(ISNUMBER((Datos!P23-Datos!Q23)/(Datos!R23-Datos!P23+Datos!Q23)),(Datos!P23-Datos!Q23)/(Datos!R23-Datos!P23+Datos!Q23)," - ")</f>
        <v>4.5614035087719301E-2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32</v>
      </c>
      <c r="F31" s="1117">
        <f t="shared" si="20"/>
        <v>4298</v>
      </c>
      <c r="G31" s="1118">
        <f t="shared" si="20"/>
        <v>4454</v>
      </c>
      <c r="H31" s="1117">
        <f t="shared" si="20"/>
        <v>0</v>
      </c>
      <c r="I31" s="1119">
        <f t="shared" si="20"/>
        <v>0</v>
      </c>
      <c r="J31" s="1119">
        <f t="shared" si="20"/>
        <v>0</v>
      </c>
      <c r="K31" s="1180">
        <f t="shared" si="20"/>
        <v>0</v>
      </c>
      <c r="L31" s="1119">
        <f t="shared" si="20"/>
        <v>2124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10576</v>
      </c>
      <c r="X31" s="1118">
        <f t="shared" si="21"/>
        <v>4191</v>
      </c>
      <c r="Y31" s="1125">
        <f t="shared" si="21"/>
        <v>14319</v>
      </c>
      <c r="Z31" s="1125">
        <f t="shared" si="21"/>
        <v>0</v>
      </c>
      <c r="AA31" s="1125">
        <f t="shared" si="21"/>
        <v>4722</v>
      </c>
      <c r="AB31" s="1125">
        <f t="shared" si="21"/>
        <v>23537</v>
      </c>
      <c r="AC31" s="1125">
        <f t="shared" si="21"/>
        <v>5813</v>
      </c>
      <c r="AD31" s="1125">
        <f t="shared" si="21"/>
        <v>0</v>
      </c>
      <c r="AE31" s="1127">
        <f t="shared" si="21"/>
        <v>0</v>
      </c>
      <c r="AF31" s="1128">
        <f t="shared" si="21"/>
        <v>0</v>
      </c>
      <c r="AG31" s="1129">
        <f t="shared" si="21"/>
        <v>0</v>
      </c>
      <c r="AH31" s="1127">
        <f t="shared" si="21"/>
        <v>0</v>
      </c>
      <c r="AI31" s="1117">
        <f t="shared" si="21"/>
        <v>3335</v>
      </c>
      <c r="AJ31" s="1117">
        <f t="shared" si="21"/>
        <v>0</v>
      </c>
      <c r="AK31" s="1127">
        <f t="shared" si="21"/>
        <v>0</v>
      </c>
      <c r="AL31" s="1183">
        <f>IF(ISNUMBER(NºAsuntos!G31/NºAsuntos!E31),NºAsuntos!G31/NºAsuntos!E31," - ")</f>
        <v>1.0308958151700087</v>
      </c>
      <c r="AM31" s="1184">
        <f>IF(ISNUMBER(((NºAsuntos!I31/NºAsuntos!G31)*11)/factor_trimestre),((NºAsuntos!I31/NºAsuntos!G31)*11)/factor_trimestre," - ")</f>
        <v>2.8406363972725832</v>
      </c>
      <c r="AN31" s="1184">
        <f>IF(ISNUMBER('Resol  Asuntos'!D31/NºAsuntos!G31),'Resol  Asuntos'!D31/NºAsuntos!G31," - ")</f>
        <v>0.17627781595221734</v>
      </c>
      <c r="AO31" s="1185">
        <f>IF(ISNUMBER((NºAsuntos!C31+NºAsuntos!E31)/NºAsuntos!G31),(NºAsuntos!C31+NºAsuntos!E31)/NºAsuntos!G31," - ")</f>
        <v>1.8919076061102595</v>
      </c>
      <c r="AP31" s="1186" t="str">
        <f t="shared" si="2"/>
        <v xml:space="preserve"> - </v>
      </c>
      <c r="AQ31" s="1187">
        <f>IF(OR(ISNUMBER(FIND("01",Criterios!A8,1)),ISNUMBER(FIND("02",Criterios!A8,1)),ISNUMBER(FIND("03",Criterios!A8,1)),ISNUMBER(FIND("04",Criterios!A8,1))),(I31-W31+K31)/(F31-K31),(H31-W31+K31)/(F31-K31))</f>
        <v>-2.4606793857608191</v>
      </c>
      <c r="AR31" s="1188">
        <f>IF(ISNUMBER((Datos!P31-Datos!Q31)/(Datos!R31-Datos!P31+Datos!Q31)),(Datos!P31-Datos!Q31)/(Datos!R31-Datos!P31+Datos!Q31)," - ")</f>
        <v>-8.0729573504139979E-2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1272.5714285714287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6.2379708801624254</v>
      </c>
      <c r="F33" s="276">
        <f>IF(ISNUMBER(STDEV(F8:F30)),STDEV(F8:F30),"-")</f>
        <v>2072.5345513806678</v>
      </c>
      <c r="G33" s="277">
        <f>IF(ISNUMBER(STDEV(G8:G30)),STDEV(G8:G30),"-")</f>
        <v>1958.5657045520886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4843.4447009776595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819.02418225050667</v>
      </c>
      <c r="AJ33" s="276">
        <f t="shared" si="25"/>
        <v>0</v>
      </c>
      <c r="AK33" s="278">
        <f t="shared" si="25"/>
        <v>0</v>
      </c>
      <c r="AL33" s="273">
        <f t="shared" si="25"/>
        <v>7.3907429110432854E-2</v>
      </c>
      <c r="AM33" s="274">
        <f t="shared" si="25"/>
        <v>2.0639263847982212</v>
      </c>
      <c r="AN33" s="274">
        <f t="shared" si="25"/>
        <v>0.14643833633621023</v>
      </c>
      <c r="AO33" s="275">
        <f t="shared" si="25"/>
        <v>0.66781991001384144</v>
      </c>
      <c r="AP33" s="317" t="str">
        <f t="shared" si="25"/>
        <v>-</v>
      </c>
      <c r="AQ33" s="318">
        <f t="shared" si="25"/>
        <v>1.431964063671604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UbYq4nUZfKCtJCNM2YsXWS6ktSjZ4UkkZj+uZjPNHQnOT90Xrc/ZfXFOfQWLJjmolY5VwHGsybd5gxbDY63QlQ==" saltValue="c4VYdvsOBXKx2Lefm+JV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GRANADA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-7.716870675891431E-2</v>
      </c>
      <c r="I9" s="395">
        <f>IF(ISNUMBER((Tasas!C9-Datos!BE9)/Datos!BE9),(Tasas!C9-Datos!BE9)/Datos!BE9," - ")</f>
        <v>-5.5346374140350992E-2</v>
      </c>
      <c r="J9" s="394">
        <f>IF(ISNUMBER((Tasas!D9-Datos!BF9)/Datos!BF9),(Tasas!D9-Datos!BF9)/Datos!BF9," - ")</f>
        <v>-0.40355847499261738</v>
      </c>
      <c r="K9" s="396">
        <f>IF(ISNUMBER((Tasas!E9-Datos!BG9)/Datos!BG9),(Tasas!E9-Datos!BG9)/Datos!BG9," - ")</f>
        <v>-8.1046746005205339E-2</v>
      </c>
      <c r="M9" t="e">
        <f>IF(Monitorios="SI",Datos!CE9,0)</f>
        <v>#REF!</v>
      </c>
      <c r="N9" t="e">
        <f>IF(Monitorios="SI",Datos!CF9,0)</f>
        <v>#REF!</v>
      </c>
      <c r="O9" t="e">
        <f>IF(Monitorios="SI",Datos!CG9,0)</f>
        <v>#REF!</v>
      </c>
      <c r="P9" t="e">
        <f>IF(Monitorios="SI",Datos!CH9,0)</f>
        <v>#REF!</v>
      </c>
      <c r="Q9">
        <f>IF(J_V="SI",0,Datos!AG9)</f>
        <v>497</v>
      </c>
      <c r="R9">
        <f>IF(J_V="SI",0,Datos!AH9)</f>
        <v>822</v>
      </c>
      <c r="S9">
        <f>IF(J_V="SI",0,Datos!AI9)</f>
        <v>875</v>
      </c>
      <c r="T9">
        <f>IF(J_V="SI",0,Datos!AJ9)</f>
        <v>444</v>
      </c>
    </row>
    <row r="10" spans="2:20" ht="14.25">
      <c r="B10" s="300" t="s">
        <v>321</v>
      </c>
      <c r="C10" s="7" t="str">
        <f>Datos!A10</f>
        <v>Jdos. Violencia contra la mujer</v>
      </c>
      <c r="D10" s="397">
        <f>IF(ISNUMBER((Datos!I10-Datos!S10)/Datos!S10),(Datos!I10-Datos!S10)/Datos!S10," - ")</f>
        <v>6.6666666666666666E-2</v>
      </c>
      <c r="E10" s="393">
        <f>IF(ISNUMBER((Datos!J10-Datos!T10)/Datos!T10),(Datos!J10-Datos!T10)/Datos!T10," - ")</f>
        <v>-0.13076923076923078</v>
      </c>
      <c r="F10" s="393">
        <f>IF(ISNUMBER((Datos!K10-Datos!U10)/Datos!U10),(Datos!K10-Datos!U10)/Datos!U10," - ")</f>
        <v>-0.2462686567164179</v>
      </c>
      <c r="G10" s="394">
        <f>IF(ISNUMBER((Datos!L10-Datos!V10)/Datos!V10),(Datos!L10-Datos!V10)/Datos!V10," - ")</f>
        <v>0.15909090909090909</v>
      </c>
      <c r="H10" s="244">
        <f>IF(ISNUMBER((Datos!M10-Datos!W10)/Datos!W10),(Datos!M10-Datos!W10)/Datos!W10," - ")</f>
        <v>-0.11320754716981132</v>
      </c>
      <c r="I10" s="395">
        <f>IF(ISNUMBER((Tasas!C10-Datos!BE10)/Datos!BE10),(Tasas!C10-Datos!BE10)/Datos!BE10," - ")</f>
        <v>0.53780378037803778</v>
      </c>
      <c r="J10" s="394">
        <f>IF(ISNUMBER((Tasas!D10-Datos!BF10)/Datos!BF10),(Tasas!D10-Datos!BF10)/Datos!BF10," - ")</f>
        <v>0.17653652157668612</v>
      </c>
      <c r="K10" s="396">
        <f>IF(ISNUMBER((Tasas!E10-Datos!BG10)/Datos!BG10),(Tasas!E10-Datos!BG10)/Datos!BG10," - ")</f>
        <v>0.30533375918236999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-0.38347107438016531</v>
      </c>
      <c r="I11" s="395">
        <f>IF(ISNUMBER((Tasas!C11-Datos!BE11)/Datos!BE11),(Tasas!C11-Datos!BE11)/Datos!BE11," - ")</f>
        <v>0.33528753349574231</v>
      </c>
      <c r="J11" s="394">
        <f>IF(ISNUMBER((Tasas!D11-Datos!BF11)/Datos!BF11),(Tasas!D11-Datos!BF11)/Datos!BF11," - ")</f>
        <v>0.51509482710691468</v>
      </c>
      <c r="K11" s="396">
        <f>IF(ISNUMBER((Tasas!E11-Datos!BG11)/Datos!BG11),(Tasas!E11-Datos!BG11)/Datos!BG11," - ")</f>
        <v>0.17204679786198629</v>
      </c>
      <c r="M11" t="e">
        <f>IF(Monitorios="SI",Datos!CE11,0)</f>
        <v>#REF!</v>
      </c>
      <c r="N11" t="e">
        <f>IF(Monitorios="SI",Datos!CF11,0)</f>
        <v>#REF!</v>
      </c>
      <c r="O11" t="e">
        <f>IF(Monitorios="SI",Datos!CG11,0)</f>
        <v>#REF!</v>
      </c>
      <c r="P11" t="e">
        <f>IF(Monitorios="SI",Datos!CH11,0)</f>
        <v>#REF!</v>
      </c>
      <c r="Q11">
        <f>IF(J_V="SI",0,Datos!AG11)</f>
        <v>37</v>
      </c>
      <c r="R11">
        <f>IF(J_V="SI",0,Datos!AH11)</f>
        <v>49</v>
      </c>
      <c r="S11">
        <f>IF(J_V="SI",0,Datos!AI11)</f>
        <v>49</v>
      </c>
      <c r="T11">
        <f>IF(J_V="SI",0,Datos!AJ11)</f>
        <v>37</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-0.15096570752857705</v>
      </c>
      <c r="I14" s="402">
        <f>IF(ISNUMBER((Tasas!C14-Datos!BE14)/Datos!BE14),(Tasas!C14-Datos!BE14)/Datos!BE14," - ")</f>
        <v>-1.2619224657264904E-2</v>
      </c>
      <c r="J14" s="400">
        <f>IF(ISNUMBER((Tasas!D14-Datos!BF14)/Datos!BF14),(Tasas!D14-Datos!BF14)/Datos!BF14," - ")</f>
        <v>-0.32050615612279548</v>
      </c>
      <c r="K14" s="403">
        <f>IF(ISNUMBER((Tasas!E14-Datos!BG14)/Datos!BG14),(Tasas!E14-Datos!BG14)/Datos!BG14," - ")</f>
        <v>-5.021113149319064E-2</v>
      </c>
      <c r="M14" t="e">
        <f>IF(Monitorios="SI",Datos!CE14,0)</f>
        <v>#REF!</v>
      </c>
      <c r="N14" t="e">
        <f>IF(Monitorios="SI",Datos!CF14,0)</f>
        <v>#REF!</v>
      </c>
      <c r="O14" t="e">
        <f>IF(Monitorios="SI",Datos!CG14,0)</f>
        <v>#REF!</v>
      </c>
      <c r="P14" t="e">
        <f>IF(Monitorios="SI",Datos!CH14,0)</f>
        <v>#REF!</v>
      </c>
      <c r="Q14">
        <f>IF(J_V="SI",0,Datos!AG14)</f>
        <v>534</v>
      </c>
      <c r="R14">
        <f>IF(J_V="SI",0,Datos!AH14)</f>
        <v>871</v>
      </c>
      <c r="S14">
        <f>IF(J_V="SI",0,Datos!AI14)</f>
        <v>924</v>
      </c>
      <c r="T14">
        <f>IF(J_V="SI",0,Datos!AJ14)</f>
        <v>481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3.8092770147706657E-2</v>
      </c>
      <c r="E16" s="393">
        <f>IF(ISNUMBER(
   IF(D_I="SI",(Datos!J16-Datos!T16)/Datos!T16,(Datos!J16+Datos!AD16-(Datos!T16+Datos!AL16))/(Datos!T16+Datos!AL16))
     ),IF(D_I="SI",(Datos!J16-Datos!T16)/Datos!T16,(Datos!J16+Datos!AD16-(Datos!T16+Datos!AL16))/(Datos!T16+Datos!AL16))," - ")</f>
        <v>5.1057466353343302E-2</v>
      </c>
      <c r="F16" s="393">
        <f>IF(ISNUMBER(
   IF(D_I="SI",(Datos!K16-Datos!U16)/Datos!U16,(Datos!K16+Datos!AE16-(Datos!U16+Datos!AM16))/(Datos!U16+Datos!AM16))
     ),IF(D_I="SI",(Datos!K16-Datos!U16)/Datos!U16,(Datos!K16+Datos!AE16-(Datos!U16+Datos!AM16))/(Datos!U16+Datos!AM16))," - ")</f>
        <v>1.5579255541614387E-2</v>
      </c>
      <c r="G16" s="394">
        <f>IF(ISNUMBER(
   IF(D_I="SI",(Datos!L16-Datos!V16)/Datos!V16,(Datos!L16+Datos!AF16-(Datos!V16+Datos!AN16))/(Datos!V16+Datos!AN16))
     ),IF(D_I="SI",(Datos!L16-Datos!V16)/Datos!V16,(Datos!L16+Datos!AF16-(Datos!V16+Datos!AN16))/(Datos!V16+Datos!AN16))," - ")</f>
        <v>0.1360708534621578</v>
      </c>
      <c r="H16" s="244">
        <f>IF(ISNUMBER((Datos!M16-Datos!W16)/Datos!W16),(Datos!M16-Datos!W16)/Datos!W16," - ")</f>
        <v>4.7713717693836977E-2</v>
      </c>
      <c r="I16" s="395">
        <f>IF(ISNUMBER((Tasas!C16-Datos!BE16)/Datos!BE16),(Tasas!C16-Datos!BE16)/Datos!BE16," - ")</f>
        <v>0.11864322480305545</v>
      </c>
      <c r="J16" s="394">
        <f>IF(ISNUMBER((Tasas!D16-Datos!BF16)/Datos!BF16),(Tasas!D16-Datos!BF16)/Datos!BF16," - ")</f>
        <v>3.1641510967142732E-2</v>
      </c>
      <c r="K16" s="396">
        <f>IF(ISNUMBER((Tasas!E16-Datos!BG16)/Datos!BG16),(Tasas!E16-Datos!BG16)/Datos!BG16," - ")</f>
        <v>3.1207827106763758E-2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-0.35678391959798994</v>
      </c>
      <c r="E18" s="393">
        <f>IF(ISNUMBER(
   IF(D_I="SI",(Datos!J18-Datos!T18)/Datos!T18,(Datos!J18+Datos!AD18-(Datos!T18+Datos!AL18))/(Datos!T18+Datos!AL18))
     ),IF(D_I="SI",(Datos!J18-Datos!T18)/Datos!T18,(Datos!J18+Datos!AD18-(Datos!T18+Datos!AL18))/(Datos!T18+Datos!AL18))," - ")</f>
        <v>7.8296703296703296E-2</v>
      </c>
      <c r="F18" s="393">
        <f>IF(ISNUMBER(
   IF(D_I="SI",(Datos!K18-Datos!U18)/Datos!U18,(Datos!K18+Datos!AE18-(Datos!U18+Datos!AM18))/(Datos!U18+Datos!AM18))
     ),IF(D_I="SI",(Datos!K18-Datos!U18)/Datos!U18,(Datos!K18+Datos!AE18-(Datos!U18+Datos!AM18))/(Datos!U18+Datos!AM18))," - ")</f>
        <v>-1.4230271668822769E-2</v>
      </c>
      <c r="G18" s="394">
        <f>IF(ISNUMBER(
   IF(D_I="SI",(Datos!L18-Datos!V18)/Datos!V18,(Datos!L18+Datos!AF18-(Datos!V18+Datos!AN18))/(Datos!V18+Datos!AN18))
     ),IF(D_I="SI",(Datos!L18-Datos!V18)/Datos!V18,(Datos!L18+Datos!AF18-(Datos!V18+Datos!AN18))/(Datos!V18+Datos!AN18))," - ")</f>
        <v>-0.199438202247191</v>
      </c>
      <c r="H18" s="244">
        <f>IF(ISNUMBER((Datos!M18-Datos!W18)/Datos!W18),(Datos!M18-Datos!W18)/Datos!W18," - ")</f>
        <v>-0.14189189189189189</v>
      </c>
      <c r="I18" s="395">
        <f>IF(ISNUMBER((Tasas!C18-Datos!BE18)/Datos!BE18),(Tasas!C18-Datos!BE18)/Datos!BE18," - ")</f>
        <v>-0.18788153587543124</v>
      </c>
      <c r="J18" s="394">
        <f>IF(ISNUMBER((Tasas!D18-Datos!BF18)/Datos!BF18),(Tasas!D18-Datos!BF18)/Datos!BF18," - ")</f>
        <v>-0.12950450450450454</v>
      </c>
      <c r="K18" s="396">
        <f>IF(ISNUMBER((Tasas!E18-Datos!BG18)/Datos!BG18),(Tasas!E18-Datos!BG18)/Datos!BG18," - ")</f>
        <v>-6.2142487517657143E-2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1.1745360582569885E-3</v>
      </c>
      <c r="E23" s="399">
        <f>IF(ISNUMBER(
   IF(D_I="SI",(Datos!J23-Datos!T23)/Datos!T23,(Datos!J23+Datos!AD23-(Datos!T23+Datos!AL23))/(Datos!T23+Datos!AL23))
     ),IF(D_I="SI",(Datos!J23-Datos!T23)/Datos!T23,(Datos!J23+Datos!AD23-(Datos!T23+Datos!AL23))/(Datos!T23+Datos!AL23))," - ")</f>
        <v>5.3022794846382559E-2</v>
      </c>
      <c r="F23" s="399">
        <f>IF(ISNUMBER(
   IF(D_I="SI",(Datos!K23-Datos!U23)/Datos!U23,(Datos!K23+Datos!AE23-(Datos!U23+Datos!AM23))/(Datos!U23+Datos!AM23))
     ),IF(D_I="SI",(Datos!K23-Datos!U23)/Datos!U23,(Datos!K23+Datos!AE23-(Datos!U23+Datos!AM23))/(Datos!U23+Datos!AM23))," - ")</f>
        <v>1.3350101576859823E-2</v>
      </c>
      <c r="G23" s="400">
        <f>IF(ISNUMBER(
   IF(D_I="SI",(Datos!L23-Datos!V23)/Datos!V23,(Datos!L23+Datos!AF23-(Datos!V23+Datos!AN23))/(Datos!V23+Datos!AN23))
     ),IF(D_I="SI",(Datos!L23-Datos!V23)/Datos!V23,(Datos!L23+Datos!AF23-(Datos!V23+Datos!AN23))/(Datos!V23+Datos!AN23))," - ")</f>
        <v>0.10681038706516413</v>
      </c>
      <c r="H23" s="401">
        <f>IF(ISNUMBER((Datos!M23-Datos!W23)/Datos!W23),(Datos!M23-Datos!W23)/Datos!W23," - ")</f>
        <v>2.3396880415944541E-2</v>
      </c>
      <c r="I23" s="402">
        <f>IF(ISNUMBER((Tasas!C23-Datos!BE23)/Datos!BE23),(Tasas!C23-Datos!BE23)/Datos!BE23," - ")</f>
        <v>9.222901872005751E-2</v>
      </c>
      <c r="J23" s="400">
        <f>IF(ISNUMBER((Tasas!D23-Datos!BF23)/Datos!BF23),(Tasas!D23-Datos!BF23)/Datos!BF23," - ")</f>
        <v>9.9144203207272939E-3</v>
      </c>
      <c r="K23" s="403">
        <f>IF(ISNUMBER((Tasas!E23-Datos!BG23)/Datos!BG23),(Tasas!E23-Datos!BG23)/Datos!BG23," - ")</f>
        <v>2.3968447912156E-2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-0.17828032979976444</v>
      </c>
      <c r="E31" s="409">
        <f>IF(ISNUMBER(
   IF(J_V="SI",(Datos!J31-Datos!T31)/Datos!T31,(Datos!J31+Datos!Z31-(Datos!T31+Datos!AH31))/(Datos!T31+Datos!AH31))
     ),IF(J_V="SI",(Datos!J31-Datos!T31)/Datos!T31,(Datos!J31+Datos!Z31-(Datos!T31+Datos!AH31))/(Datos!T31+Datos!AH31))," - ")</f>
        <v>6.6922654964344484E-3</v>
      </c>
      <c r="F31" s="409">
        <f>IF(ISNUMBER(
   IF(J_V="SI",(Datos!K31-Datos!U31)/Datos!U31,(Datos!K31+Datos!AA31-(Datos!U31+Datos!AI31))/(Datos!U31+Datos!AI31))
     ),IF(J_V="SI",(Datos!K31-Datos!U31)/Datos!U31,(Datos!K31+Datos!AA31-(Datos!U31+Datos!AI31))/(Datos!U31+Datos!AI31))," - ")</f>
        <v>-5.258150132705694E-2</v>
      </c>
      <c r="G31" s="410">
        <f>IF(ISNUMBER(
   IF(J_V="SI",(Datos!L31-Datos!V31)/Datos!V31,(Datos!L31+Datos!AB31-(Datos!V31+Datos!AJ31))/(Datos!V31+Datos!AJ31))
     ),IF(J_V="SI",(Datos!L31-Datos!V31)/Datos!V31,(Datos!L31+Datos!AB31-(Datos!V31+Datos!AJ31))/(Datos!V31+Datos!AJ31))," - ")</f>
        <v>-8.4057674608855715E-2</v>
      </c>
      <c r="H31" s="411">
        <f>IF(ISNUMBER((Datos!M31-Datos!W31)/Datos!W31),(Datos!M31-Datos!W31)/Datos!W31," - ")</f>
        <v>-9.6450826334326736E-2</v>
      </c>
      <c r="I31" s="408">
        <f>IF(ISNUMBER((Tasas!C31-Datos!BE31)/Datos!BE31),(Tasas!C31-Datos!BE31)/Datos!BE31," - ")</f>
        <v>-3.3223093412138027E-2</v>
      </c>
      <c r="J31" s="409">
        <f>IF(ISNUMBER((Tasas!D31-Datos!BF31)/Datos!BF31),(Tasas!D31-Datos!BF31)/Datos!BF31," - ")</f>
        <v>-0.26203528160380962</v>
      </c>
      <c r="K31" s="410">
        <f>IF(ISNUMBER((Tasas!E31-Datos!BG31)/Datos!BG31),(Tasas!E31-Datos!BG31)/Datos!BG31," - ")</f>
        <v>-4.2466024929266925E-2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0.19787220156589169</v>
      </c>
      <c r="E33" s="303">
        <f t="shared" si="1"/>
        <v>9.6580549390544695E-2</v>
      </c>
      <c r="F33" s="303">
        <f t="shared" si="1"/>
        <v>0.1263138600785787</v>
      </c>
      <c r="G33" s="304">
        <f t="shared" si="1"/>
        <v>0.16808157727570835</v>
      </c>
      <c r="H33" s="310">
        <f t="shared" si="1"/>
        <v>0.1420942502506084</v>
      </c>
      <c r="I33" s="302">
        <f t="shared" si="1"/>
        <v>0.24657212089692748</v>
      </c>
      <c r="J33" s="303">
        <f t="shared" si="1"/>
        <v>0.31034177529670798</v>
      </c>
      <c r="K33" s="304">
        <f t="shared" si="1"/>
        <v>0.14194846334435043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3lijbDK9MZ92jwHUKeCSDC4lsVwjwBu2WpPJA7dfc3EL2IT+Uc0fG4cjemRZNMAmJIPJ9bkRjrKspIC37/zsQ==" saltValue="OXsmDTHhmVCxDV0lCI3cf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